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ZFM\"/>
    </mc:Choice>
  </mc:AlternateContent>
  <xr:revisionPtr revIDLastSave="0" documentId="13_ncr:1_{978515F8-ACBE-4005-BD28-5DE00C01806D}" xr6:coauthVersionLast="36" xr6:coauthVersionMax="47" xr10:uidLastSave="{00000000-0000-0000-0000-000000000000}"/>
  <bookViews>
    <workbookView xWindow="-120" yWindow="-120" windowWidth="20730" windowHeight="11160" xr2:uid="{E8D67E33-0177-4EDB-BF2A-C14C5678B852}"/>
  </bookViews>
  <sheets>
    <sheet name="Příklad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9" i="1" l="1"/>
  <c r="O46" i="1"/>
  <c r="J47" i="1" l="1"/>
  <c r="J46" i="1"/>
  <c r="Q40" i="1"/>
  <c r="O34" i="1"/>
  <c r="O35" i="1" s="1"/>
  <c r="J36" i="1"/>
  <c r="J34" i="1"/>
  <c r="J35" i="1" s="1"/>
  <c r="M26" i="1"/>
  <c r="B28" i="1"/>
  <c r="J25" i="1" s="1"/>
  <c r="J26" i="1" s="1"/>
  <c r="L30" i="1" s="1"/>
  <c r="M30" i="1" s="1"/>
  <c r="N30" i="1" s="1"/>
  <c r="O30" i="1" s="1"/>
  <c r="P30" i="1" s="1"/>
  <c r="Q30" i="1" s="1"/>
  <c r="R30" i="1" s="1"/>
  <c r="S30" i="1" s="1"/>
  <c r="T30" i="1" s="1"/>
  <c r="U30" i="1" s="1"/>
  <c r="J19" i="1"/>
  <c r="J17" i="1"/>
  <c r="J18" i="1" s="1"/>
  <c r="J20" i="1" s="1"/>
  <c r="J16" i="1"/>
  <c r="R40" i="1" l="1"/>
  <c r="J48" i="1"/>
  <c r="P49" i="1" s="1"/>
  <c r="J27" i="1"/>
  <c r="J28" i="1" s="1"/>
  <c r="J37" i="1"/>
  <c r="O36" i="1" s="1"/>
  <c r="M27" i="1"/>
  <c r="N26" i="1"/>
  <c r="R39" i="1" l="1"/>
  <c r="S39" i="1" s="1"/>
  <c r="T40" i="1" s="1"/>
  <c r="Q50" i="1"/>
  <c r="Q46" i="1"/>
  <c r="R46" i="1" s="1"/>
  <c r="S46" i="1" s="1"/>
  <c r="T46" i="1" s="1"/>
  <c r="U46" i="1" s="1"/>
  <c r="V46" i="1" s="1"/>
  <c r="W46" i="1" s="1"/>
  <c r="X46" i="1" s="1"/>
  <c r="Y46" i="1" s="1"/>
  <c r="Z46" i="1" s="1"/>
  <c r="O47" i="1"/>
  <c r="R35" i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AH35" i="1" s="1"/>
  <c r="AI35" i="1" s="1"/>
  <c r="AJ35" i="1" s="1"/>
  <c r="AK35" i="1" s="1"/>
  <c r="AL35" i="1" s="1"/>
  <c r="AM35" i="1" s="1"/>
  <c r="AN35" i="1" s="1"/>
  <c r="AO35" i="1" s="1"/>
  <c r="AP35" i="1" s="1"/>
  <c r="AQ35" i="1" s="1"/>
  <c r="AR35" i="1" s="1"/>
  <c r="AS35" i="1" s="1"/>
  <c r="AT35" i="1" s="1"/>
  <c r="AU35" i="1" s="1"/>
  <c r="AV35" i="1" s="1"/>
  <c r="AW35" i="1" s="1"/>
  <c r="AX35" i="1" s="1"/>
  <c r="AY35" i="1" s="1"/>
  <c r="AZ35" i="1" s="1"/>
  <c r="BA35" i="1" s="1"/>
  <c r="BB35" i="1" s="1"/>
  <c r="BC35" i="1" s="1"/>
  <c r="BD35" i="1" s="1"/>
  <c r="BE35" i="1" s="1"/>
  <c r="BF35" i="1" s="1"/>
  <c r="BG35" i="1" s="1"/>
  <c r="BH35" i="1" s="1"/>
  <c r="BI35" i="1" s="1"/>
  <c r="BJ35" i="1" s="1"/>
  <c r="R37" i="1" s="1"/>
  <c r="N27" i="1"/>
  <c r="O26" i="1"/>
  <c r="T39" i="1" l="1"/>
  <c r="U39" i="1" s="1"/>
  <c r="V40" i="1" s="1"/>
  <c r="S40" i="1"/>
  <c r="Q49" i="1"/>
  <c r="R49" i="1" s="1"/>
  <c r="S49" i="1" s="1"/>
  <c r="S37" i="1"/>
  <c r="T37" i="1" s="1"/>
  <c r="U37" i="1" s="1"/>
  <c r="V37" i="1" s="1"/>
  <c r="W37" i="1" s="1"/>
  <c r="X37" i="1" s="1"/>
  <c r="Y37" i="1" s="1"/>
  <c r="Z37" i="1" s="1"/>
  <c r="AA37" i="1" s="1"/>
  <c r="AB37" i="1" s="1"/>
  <c r="AC37" i="1" s="1"/>
  <c r="AD37" i="1" s="1"/>
  <c r="AE37" i="1" s="1"/>
  <c r="AF37" i="1" s="1"/>
  <c r="AG37" i="1" s="1"/>
  <c r="AH37" i="1" s="1"/>
  <c r="AI37" i="1" s="1"/>
  <c r="AJ37" i="1" s="1"/>
  <c r="AK37" i="1" s="1"/>
  <c r="AL37" i="1" s="1"/>
  <c r="AM37" i="1" s="1"/>
  <c r="AN37" i="1" s="1"/>
  <c r="AO37" i="1" s="1"/>
  <c r="AP37" i="1" s="1"/>
  <c r="AQ37" i="1" s="1"/>
  <c r="AR37" i="1" s="1"/>
  <c r="AS37" i="1" s="1"/>
  <c r="AT37" i="1" s="1"/>
  <c r="AU37" i="1" s="1"/>
  <c r="AV37" i="1" s="1"/>
  <c r="AW37" i="1" s="1"/>
  <c r="AX37" i="1" s="1"/>
  <c r="AY37" i="1" s="1"/>
  <c r="AZ37" i="1" s="1"/>
  <c r="BA37" i="1" s="1"/>
  <c r="BB37" i="1" s="1"/>
  <c r="BC37" i="1" s="1"/>
  <c r="BD37" i="1" s="1"/>
  <c r="BE37" i="1" s="1"/>
  <c r="P26" i="1"/>
  <c r="O27" i="1"/>
  <c r="V39" i="1" l="1"/>
  <c r="U40" i="1"/>
  <c r="S50" i="1"/>
  <c r="R50" i="1"/>
  <c r="T49" i="1"/>
  <c r="T50" i="1"/>
  <c r="Q26" i="1"/>
  <c r="P27" i="1"/>
  <c r="W39" i="1"/>
  <c r="W40" i="1"/>
  <c r="X40" i="1" s="1"/>
  <c r="X39" i="1" s="1"/>
  <c r="U49" i="1" l="1"/>
  <c r="U50" i="1"/>
  <c r="R26" i="1"/>
  <c r="Q27" i="1"/>
  <c r="J9" i="1"/>
  <c r="J7" i="1"/>
  <c r="J8" i="1" s="1"/>
  <c r="N11" i="1" s="1"/>
  <c r="O12" i="1" l="1"/>
  <c r="O11" i="1"/>
  <c r="R27" i="1"/>
  <c r="S27" i="1" s="1"/>
  <c r="S26" i="1"/>
  <c r="V49" i="1"/>
  <c r="V50" i="1"/>
  <c r="W50" i="1" s="1"/>
  <c r="J10" i="1"/>
  <c r="L8" i="1" s="1"/>
  <c r="M8" i="1" l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Y8" i="1" s="1"/>
  <c r="Z8" i="1" s="1"/>
  <c r="AA8" i="1" s="1"/>
  <c r="AB8" i="1" s="1"/>
  <c r="AC8" i="1" s="1"/>
  <c r="AD8" i="1" s="1"/>
  <c r="AE8" i="1" s="1"/>
  <c r="AF8" i="1" s="1"/>
  <c r="AG8" i="1" s="1"/>
  <c r="AH8" i="1" s="1"/>
  <c r="AI8" i="1" s="1"/>
  <c r="AJ8" i="1" s="1"/>
  <c r="AK8" i="1" s="1"/>
  <c r="AL8" i="1" s="1"/>
  <c r="AM8" i="1" s="1"/>
  <c r="AN8" i="1" s="1"/>
  <c r="AO8" i="1" s="1"/>
  <c r="AP8" i="1" s="1"/>
  <c r="AQ8" i="1" s="1"/>
  <c r="AR8" i="1" s="1"/>
  <c r="AS8" i="1" s="1"/>
  <c r="AT8" i="1" s="1"/>
  <c r="AU8" i="1" s="1"/>
  <c r="AV8" i="1" s="1"/>
  <c r="AW8" i="1" s="1"/>
  <c r="AX8" i="1" s="1"/>
  <c r="AY8" i="1" s="1"/>
  <c r="T26" i="1"/>
  <c r="P11" i="1"/>
  <c r="P12" i="1"/>
  <c r="Q11" i="1" l="1"/>
  <c r="Q12" i="1"/>
  <c r="R12" i="1" s="1"/>
</calcChain>
</file>

<file path=xl/sharedStrings.xml><?xml version="1.0" encoding="utf-8"?>
<sst xmlns="http://schemas.openxmlformats.org/spreadsheetml/2006/main" count="268" uniqueCount="55">
  <si>
    <t>Jakou částku musíme dnes uložit na účet, aby z něj bylo možné po dobu 10 let při roční úrokové míře 4,4 % s čtvrtletním připisováním úroků (4,4 % p.a./p.q.) na konci každého měsíce čerpat částku 5 000 Kč.</t>
  </si>
  <si>
    <t>1.</t>
  </si>
  <si>
    <t>2.</t>
  </si>
  <si>
    <t>Můžete od banky získat hypoteční úvěr, jestliže kupní cena vaší vybrané nemovitosti je 4 500 000 Kč? Banka vám půjčí maximálně 85 % ceny nemovitosti. Doba splácení bude 25 let se stálým úrokem 2,5 % (p.a./p.a.) po celou dobu splácení. Dle výpočtu banky vaše volné měsíční prostředky za celou rodinu jsou ve výši 17 200 Kč.</t>
  </si>
  <si>
    <t>3.</t>
  </si>
  <si>
    <t>Každý rok ukládáte na konci každého roku částku ve výši 3 000 Kč. Za jak dlouho budete mít na účtu 18 000 Kč, je – li úroková míra 4,9 % p.a./p.q.? Kolik bude činit poslední splátka?</t>
  </si>
  <si>
    <t>4.</t>
  </si>
  <si>
    <t>5.</t>
  </si>
  <si>
    <t>Příštích 5 let si plánujete spořit na sportovní vůz v hodnotě 2 091 000 Kč. Naspoříte tuto částku, pokud si budete pravidelně spořit  27 500 Kč, vždy na začátku každého měsíce, a fond je úročen úrokovou mírou 2 % p.q./p.s.?</t>
  </si>
  <si>
    <t>6.</t>
  </si>
  <si>
    <t>Za 45 let plánujete odchod do důchodu. Na začátku každého roku si budete spořit stejnou částku, roční úroková míra fondu je 4 % p.a. s pololetním úročením. Jakou částku si musíte spořit a kolik celkem uspoříte, jestliže si chcete v důchodu vybírat 25 000 Kč koncem každého měsíce po dobu 20 let?</t>
  </si>
  <si>
    <t>Rodiče vložili 750 000 Kč svému dítěti dva roky před nástupem na VŠ do fondu s úrokem 5 % p.a./p.s. Tyto peníze bude čerpat rovnoměrně, vždy na konci měsíce po celou dobu studia, tj. 5 let. Jak velká bude měsíční částka?</t>
  </si>
  <si>
    <t>pa/pq</t>
  </si>
  <si>
    <t>pq/ps</t>
  </si>
  <si>
    <t>let</t>
  </si>
  <si>
    <t>ps</t>
  </si>
  <si>
    <t>pa/ps</t>
  </si>
  <si>
    <t>roky</t>
  </si>
  <si>
    <t>za 2 roky na fondu</t>
  </si>
  <si>
    <t>čerpání čtvrtletních částek (15 055 Kč)</t>
  </si>
  <si>
    <t>střadatel polhůtní, jednoduché úročení</t>
  </si>
  <si>
    <t>částka k dispozici na čtvrtletí</t>
  </si>
  <si>
    <t>zásobitel za 10 let, tj. 40 čtvrtletí</t>
  </si>
  <si>
    <t>dnes vložená částka</t>
  </si>
  <si>
    <t>úroky</t>
  </si>
  <si>
    <t>jedno čtvrtletí</t>
  </si>
  <si>
    <t>úroky celkem z jednoduchého úročení</t>
  </si>
  <si>
    <t>čerpání měsíčních částek (5 000 Kč)</t>
  </si>
  <si>
    <t>výše hypotéky</t>
  </si>
  <si>
    <t>anuitní faktor</t>
  </si>
  <si>
    <t>roční suma splátek</t>
  </si>
  <si>
    <t>měsíční splátka</t>
  </si>
  <si>
    <t>střadatel předlhůtní, jednoduché úročení</t>
  </si>
  <si>
    <t>uspořeno za pololetí</t>
  </si>
  <si>
    <t>střadatel polhůtní, složené úročení</t>
  </si>
  <si>
    <t>uspořeno za 5 let</t>
  </si>
  <si>
    <t>spoření během jednoho pololetí</t>
  </si>
  <si>
    <t>vklad</t>
  </si>
  <si>
    <t>úrok</t>
  </si>
  <si>
    <t>spoření během let, po pololetích</t>
  </si>
  <si>
    <t>Ne, nenaspoříme</t>
  </si>
  <si>
    <t>Ano, hypotéku získat můžeme.</t>
  </si>
  <si>
    <t>půlroční částka k výběru</t>
  </si>
  <si>
    <t>zásobitel za 20 let</t>
  </si>
  <si>
    <t>naspořeno na důchod</t>
  </si>
  <si>
    <t>efektivní úroková míra</t>
  </si>
  <si>
    <t>střadatel předlhůtní, složené úročení</t>
  </si>
  <si>
    <t>roční spořená částka</t>
  </si>
  <si>
    <t>průběh spoření, 45 let</t>
  </si>
  <si>
    <t>Výběr během 20 let, tj. 40 pololetí</t>
  </si>
  <si>
    <t>Výběr během pololetí</t>
  </si>
  <si>
    <t>k dispozici na pololetí</t>
  </si>
  <si>
    <t>měsíční kapesné</t>
  </si>
  <si>
    <t>Průběh vybírání po pololetích</t>
  </si>
  <si>
    <t>současná hodnota půlroční částky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</si>
</sst>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%"/>
    <numFmt numFmtId="165" formatCode="#,##0.00\ &quot;Kč&quot;"/>
    <numFmt numFmtId="166" formatCode="#,##0.0\ &quot;Kč&quot;"/>
    <numFmt numFmtId="167" formatCode="#,##0\ &quot;Kč&quot;"/>
    <numFmt numFmtId="173" formatCode="0.0000%"/>
    <numFmt numFmtId="181" formatCode="0.000000000"/>
  </numFmts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9" fontId="1" fillId="0" borderId="0" xfId="1" applyFont="1"/>
    <xf numFmtId="164" fontId="1" fillId="0" borderId="0" xfId="1" applyNumberFormat="1" applyFont="1"/>
    <xf numFmtId="166" fontId="1" fillId="0" borderId="0" xfId="0" applyNumberFormat="1" applyFont="1"/>
    <xf numFmtId="167" fontId="1" fillId="0" borderId="0" xfId="0" applyNumberFormat="1" applyFont="1"/>
    <xf numFmtId="0" fontId="1" fillId="0" borderId="0" xfId="0" applyFont="1" applyAlignment="1">
      <alignment horizontal="right" vertical="center"/>
    </xf>
    <xf numFmtId="166" fontId="0" fillId="0" borderId="0" xfId="0" applyNumberFormat="1"/>
    <xf numFmtId="0" fontId="1" fillId="3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10" fontId="1" fillId="0" borderId="0" xfId="1" applyNumberFormat="1" applyFont="1"/>
    <xf numFmtId="0" fontId="1" fillId="0" borderId="0" xfId="0" applyFont="1" applyAlignment="1">
      <alignment horizontal="left"/>
    </xf>
    <xf numFmtId="167" fontId="2" fillId="4" borderId="0" xfId="0" applyNumberFormat="1" applyFont="1" applyFill="1"/>
    <xf numFmtId="0" fontId="4" fillId="5" borderId="0" xfId="0" applyFont="1" applyFill="1"/>
    <xf numFmtId="0" fontId="0" fillId="5" borderId="0" xfId="0" applyFill="1"/>
    <xf numFmtId="0" fontId="2" fillId="4" borderId="0" xfId="0" applyFont="1" applyFill="1" applyAlignment="1">
      <alignment horizontal="left"/>
    </xf>
    <xf numFmtId="0" fontId="1" fillId="6" borderId="0" xfId="0" applyFont="1" applyFill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167" fontId="1" fillId="0" borderId="1" xfId="0" applyNumberFormat="1" applyFont="1" applyBorder="1"/>
    <xf numFmtId="167" fontId="0" fillId="0" borderId="1" xfId="0" applyNumberFormat="1" applyBorder="1"/>
    <xf numFmtId="166" fontId="1" fillId="0" borderId="1" xfId="0" applyNumberFormat="1" applyFon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/>
    <xf numFmtId="0" fontId="0" fillId="0" borderId="6" xfId="0" applyBorder="1"/>
    <xf numFmtId="167" fontId="0" fillId="0" borderId="6" xfId="0" applyNumberFormat="1" applyBorder="1"/>
    <xf numFmtId="166" fontId="1" fillId="0" borderId="8" xfId="0" applyNumberFormat="1" applyFont="1" applyBorder="1"/>
    <xf numFmtId="0" fontId="0" fillId="0" borderId="10" xfId="0" applyBorder="1"/>
    <xf numFmtId="166" fontId="1" fillId="0" borderId="11" xfId="0" applyNumberFormat="1" applyFont="1" applyBorder="1"/>
    <xf numFmtId="167" fontId="0" fillId="0" borderId="11" xfId="0" applyNumberFormat="1" applyBorder="1"/>
    <xf numFmtId="0" fontId="0" fillId="0" borderId="12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1" fillId="0" borderId="6" xfId="0" applyFont="1" applyBorder="1"/>
    <xf numFmtId="167" fontId="1" fillId="0" borderId="7" xfId="0" applyNumberFormat="1" applyFont="1" applyBorder="1"/>
    <xf numFmtId="167" fontId="1" fillId="0" borderId="8" xfId="0" applyNumberFormat="1" applyFont="1" applyBorder="1"/>
    <xf numFmtId="167" fontId="1" fillId="0" borderId="9" xfId="0" applyNumberFormat="1" applyFont="1" applyBorder="1"/>
    <xf numFmtId="173" fontId="1" fillId="0" borderId="0" xfId="1" applyNumberFormat="1" applyFont="1"/>
    <xf numFmtId="167" fontId="1" fillId="0" borderId="0" xfId="0" applyNumberFormat="1" applyFont="1" applyBorder="1"/>
    <xf numFmtId="167" fontId="1" fillId="0" borderId="10" xfId="0" applyNumberFormat="1" applyFont="1" applyBorder="1"/>
    <xf numFmtId="167" fontId="1" fillId="0" borderId="11" xfId="0" applyNumberFormat="1" applyFont="1" applyBorder="1"/>
    <xf numFmtId="167" fontId="1" fillId="0" borderId="2" xfId="0" applyNumberFormat="1" applyFont="1" applyBorder="1" applyAlignment="1">
      <alignment horizontal="left"/>
    </xf>
    <xf numFmtId="167" fontId="1" fillId="0" borderId="3" xfId="0" applyNumberFormat="1" applyFont="1" applyBorder="1" applyAlignment="1">
      <alignment horizontal="left"/>
    </xf>
    <xf numFmtId="167" fontId="1" fillId="0" borderId="4" xfId="0" applyNumberFormat="1" applyFont="1" applyBorder="1" applyAlignment="1">
      <alignment horizontal="left"/>
    </xf>
    <xf numFmtId="165" fontId="1" fillId="0" borderId="9" xfId="0" applyNumberFormat="1" applyFont="1" applyBorder="1"/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167" fontId="0" fillId="0" borderId="5" xfId="0" applyNumberFormat="1" applyBorder="1"/>
    <xf numFmtId="181" fontId="1" fillId="0" borderId="0" xfId="0" applyNumberFormat="1" applyFont="1"/>
    <xf numFmtId="166" fontId="1" fillId="0" borderId="7" xfId="0" applyNumberFormat="1" applyFont="1" applyBorder="1"/>
    <xf numFmtId="166" fontId="0" fillId="0" borderId="8" xfId="0" applyNumberFormat="1" applyBorder="1"/>
    <xf numFmtId="166" fontId="0" fillId="0" borderId="9" xfId="0" applyNumberFormat="1" applyBorder="1"/>
    <xf numFmtId="166" fontId="0" fillId="0" borderId="0" xfId="0" applyNumberFormat="1" applyBorder="1"/>
    <xf numFmtId="166" fontId="2" fillId="4" borderId="0" xfId="0" applyNumberFormat="1" applyFont="1" applyFill="1"/>
    <xf numFmtId="0" fontId="2" fillId="4" borderId="0" xfId="0" applyFont="1" applyFill="1"/>
    <xf numFmtId="166" fontId="1" fillId="0" borderId="10" xfId="0" applyNumberFormat="1" applyFont="1" applyBorder="1"/>
    <xf numFmtId="166" fontId="0" fillId="0" borderId="11" xfId="0" applyNumberFormat="1" applyBorder="1"/>
    <xf numFmtId="166" fontId="1" fillId="0" borderId="2" xfId="0" applyNumberFormat="1" applyFont="1" applyBorder="1" applyAlignment="1">
      <alignment horizontal="left"/>
    </xf>
    <xf numFmtId="166" fontId="1" fillId="0" borderId="3" xfId="0" applyNumberFormat="1" applyFont="1" applyBorder="1" applyAlignment="1">
      <alignment horizontal="left"/>
    </xf>
    <xf numFmtId="166" fontId="1" fillId="0" borderId="4" xfId="0" applyNumberFormat="1" applyFont="1" applyBorder="1" applyAlignment="1">
      <alignment horizontal="left"/>
    </xf>
    <xf numFmtId="166" fontId="1" fillId="0" borderId="5" xfId="0" applyNumberFormat="1" applyFont="1" applyBorder="1"/>
    <xf numFmtId="166" fontId="1" fillId="0" borderId="6" xfId="0" applyNumberFormat="1" applyFont="1" applyBorder="1"/>
    <xf numFmtId="166" fontId="1" fillId="0" borderId="9" xfId="0" applyNumberFormat="1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1" xfId="0" applyFont="1" applyBorder="1"/>
    <xf numFmtId="0" fontId="1" fillId="6" borderId="1" xfId="0" applyFont="1" applyFill="1" applyBorder="1" applyAlignment="1"/>
    <xf numFmtId="0" fontId="0" fillId="6" borderId="1" xfId="0" applyFill="1" applyBorder="1"/>
    <xf numFmtId="167" fontId="0" fillId="6" borderId="5" xfId="0" applyNumberFormat="1" applyFill="1" applyBorder="1"/>
    <xf numFmtId="0" fontId="0" fillId="6" borderId="6" xfId="0" applyFill="1" applyBorder="1"/>
    <xf numFmtId="167" fontId="1" fillId="6" borderId="7" xfId="0" applyNumberFormat="1" applyFont="1" applyFill="1" applyBorder="1"/>
    <xf numFmtId="0" fontId="1" fillId="6" borderId="8" xfId="0" applyFont="1" applyFill="1" applyBorder="1"/>
    <xf numFmtId="0" fontId="1" fillId="6" borderId="9" xfId="0" applyFont="1" applyFill="1" applyBorder="1"/>
    <xf numFmtId="0" fontId="1" fillId="6" borderId="5" xfId="0" applyFont="1" applyFill="1" applyBorder="1" applyAlignment="1"/>
    <xf numFmtId="0" fontId="1" fillId="6" borderId="6" xfId="0" applyFont="1" applyFill="1" applyBorder="1" applyAlignment="1"/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0" fillId="7" borderId="0" xfId="0" applyFill="1"/>
    <xf numFmtId="167" fontId="1" fillId="7" borderId="0" xfId="0" applyNumberFormat="1" applyFont="1" applyFill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07128-8792-4236-A8FD-98BAD4D9821A}">
  <dimension ref="A2:BJ482"/>
  <sheetViews>
    <sheetView tabSelected="1" topLeftCell="A4" workbookViewId="0">
      <selection activeCell="B41" sqref="B41:Q43"/>
    </sheetView>
  </sheetViews>
  <sheetFormatPr defaultRowHeight="15" x14ac:dyDescent="0.25"/>
  <cols>
    <col min="2" max="2" width="15.85546875" bestFit="1" customWidth="1"/>
    <col min="10" max="10" width="16.28515625" customWidth="1"/>
    <col min="11" max="11" width="10" bestFit="1" customWidth="1"/>
    <col min="12" max="13" width="12.85546875" bestFit="1" customWidth="1"/>
    <col min="14" max="14" width="16.140625" customWidth="1"/>
    <col min="15" max="15" width="12.7109375" customWidth="1"/>
    <col min="16" max="16" width="21.140625" bestFit="1" customWidth="1"/>
    <col min="17" max="17" width="17.140625" customWidth="1"/>
    <col min="18" max="62" width="14.140625" customWidth="1"/>
  </cols>
  <sheetData>
    <row r="2" spans="1:51" ht="15" customHeight="1" x14ac:dyDescent="0.25">
      <c r="A2" s="9" t="s">
        <v>1</v>
      </c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51" ht="15" customHeight="1" x14ac:dyDescent="0.25">
      <c r="A3" s="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51" ht="15" customHeight="1" x14ac:dyDescent="0.25">
      <c r="A4" s="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51" ht="16.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51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70" t="s">
        <v>19</v>
      </c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2"/>
    </row>
    <row r="7" spans="1:51" ht="15.75" x14ac:dyDescent="0.25">
      <c r="A7" s="1"/>
      <c r="B7" s="5">
        <v>5000</v>
      </c>
      <c r="C7" s="1"/>
      <c r="D7" s="1"/>
      <c r="E7" s="11" t="s">
        <v>20</v>
      </c>
      <c r="F7" s="11"/>
      <c r="G7" s="11"/>
      <c r="H7" s="11"/>
      <c r="I7" s="11"/>
      <c r="J7" s="1">
        <f>(3+2/2*B9/4)</f>
        <v>3.0110000000000001</v>
      </c>
      <c r="K7" s="1"/>
      <c r="L7" s="36">
        <v>1</v>
      </c>
      <c r="M7" s="18">
        <v>2</v>
      </c>
      <c r="N7" s="18">
        <v>3</v>
      </c>
      <c r="O7" s="18">
        <v>4</v>
      </c>
      <c r="P7" s="18">
        <v>5</v>
      </c>
      <c r="Q7" s="18">
        <v>6</v>
      </c>
      <c r="R7" s="18">
        <v>7</v>
      </c>
      <c r="S7" s="18">
        <v>8</v>
      </c>
      <c r="T7" s="18">
        <v>9</v>
      </c>
      <c r="U7" s="18">
        <v>10</v>
      </c>
      <c r="V7" s="18">
        <v>11</v>
      </c>
      <c r="W7" s="18">
        <v>12</v>
      </c>
      <c r="X7" s="18">
        <v>13</v>
      </c>
      <c r="Y7" s="18">
        <v>14</v>
      </c>
      <c r="Z7" s="18">
        <v>15</v>
      </c>
      <c r="AA7" s="18">
        <v>16</v>
      </c>
      <c r="AB7" s="18">
        <v>17</v>
      </c>
      <c r="AC7" s="18">
        <v>18</v>
      </c>
      <c r="AD7" s="18">
        <v>19</v>
      </c>
      <c r="AE7" s="18">
        <v>20</v>
      </c>
      <c r="AF7" s="18">
        <v>21</v>
      </c>
      <c r="AG7" s="18">
        <v>22</v>
      </c>
      <c r="AH7" s="18">
        <v>23</v>
      </c>
      <c r="AI7" s="18">
        <v>24</v>
      </c>
      <c r="AJ7" s="18">
        <v>25</v>
      </c>
      <c r="AK7" s="18">
        <v>26</v>
      </c>
      <c r="AL7" s="18">
        <v>27</v>
      </c>
      <c r="AM7" s="18">
        <v>28</v>
      </c>
      <c r="AN7" s="18">
        <v>29</v>
      </c>
      <c r="AO7" s="18">
        <v>30</v>
      </c>
      <c r="AP7" s="18">
        <v>31</v>
      </c>
      <c r="AQ7" s="18">
        <v>32</v>
      </c>
      <c r="AR7" s="18">
        <v>33</v>
      </c>
      <c r="AS7" s="18">
        <v>34</v>
      </c>
      <c r="AT7" s="18">
        <v>35</v>
      </c>
      <c r="AU7" s="18">
        <v>36</v>
      </c>
      <c r="AV7" s="18">
        <v>37</v>
      </c>
      <c r="AW7" s="18">
        <v>38</v>
      </c>
      <c r="AX7" s="18">
        <v>39</v>
      </c>
      <c r="AY7" s="37">
        <v>40</v>
      </c>
    </row>
    <row r="8" spans="1:51" ht="16.5" thickBot="1" x14ac:dyDescent="0.3">
      <c r="A8" s="1"/>
      <c r="B8" s="1">
        <v>10</v>
      </c>
      <c r="C8" s="1" t="s">
        <v>14</v>
      </c>
      <c r="D8" s="1"/>
      <c r="E8" s="11" t="s">
        <v>21</v>
      </c>
      <c r="F8" s="11"/>
      <c r="G8" s="11"/>
      <c r="H8" s="11"/>
      <c r="I8" s="11"/>
      <c r="J8" s="5">
        <f>B7*J7</f>
        <v>15055</v>
      </c>
      <c r="K8" s="1"/>
      <c r="L8" s="38">
        <f>J10*(1+B9/4)-J8</f>
        <v>475345.26450947759</v>
      </c>
      <c r="M8" s="39">
        <f>L8*(1+$B$9/4)-$J$8</f>
        <v>465519.06241908181</v>
      </c>
      <c r="N8" s="68">
        <f t="shared" ref="N8:AY8" si="0">M8*(1+$B$9/4)-$J$8</f>
        <v>455584.77210569166</v>
      </c>
      <c r="O8" s="73">
        <f t="shared" si="0"/>
        <v>445541.20459885424</v>
      </c>
      <c r="P8" s="73">
        <f t="shared" si="0"/>
        <v>435387.15784944157</v>
      </c>
      <c r="Q8" s="73">
        <f t="shared" si="0"/>
        <v>425121.4165857854</v>
      </c>
      <c r="R8" s="68">
        <f t="shared" si="0"/>
        <v>414742.75216822897</v>
      </c>
      <c r="S8" s="68">
        <f t="shared" si="0"/>
        <v>404249.92244207946</v>
      </c>
      <c r="T8" s="68">
        <f t="shared" si="0"/>
        <v>393641.67158894229</v>
      </c>
      <c r="U8" s="68">
        <f t="shared" si="0"/>
        <v>382916.72997642064</v>
      </c>
      <c r="V8" s="68">
        <f t="shared" si="0"/>
        <v>372073.81400616124</v>
      </c>
      <c r="W8" s="68">
        <f t="shared" si="0"/>
        <v>361111.62596022896</v>
      </c>
      <c r="X8" s="68">
        <f t="shared" si="0"/>
        <v>350028.85384579143</v>
      </c>
      <c r="Y8" s="68">
        <f t="shared" si="0"/>
        <v>338824.17123809509</v>
      </c>
      <c r="Z8" s="68">
        <f t="shared" si="0"/>
        <v>327496.2371217141</v>
      </c>
      <c r="AA8" s="68">
        <f t="shared" si="0"/>
        <v>316043.69573005295</v>
      </c>
      <c r="AB8" s="68">
        <f t="shared" si="0"/>
        <v>304465.17638308351</v>
      </c>
      <c r="AC8" s="68">
        <f t="shared" si="0"/>
        <v>292759.2933232974</v>
      </c>
      <c r="AD8" s="68">
        <f t="shared" si="0"/>
        <v>280924.64554985362</v>
      </c>
      <c r="AE8" s="68">
        <f t="shared" si="0"/>
        <v>268959.81665090198</v>
      </c>
      <c r="AF8" s="68">
        <f t="shared" si="0"/>
        <v>256863.37463406188</v>
      </c>
      <c r="AG8" s="68">
        <f t="shared" si="0"/>
        <v>244633.87175503653</v>
      </c>
      <c r="AH8" s="68">
        <f t="shared" si="0"/>
        <v>232269.84434434189</v>
      </c>
      <c r="AI8" s="68">
        <f t="shared" si="0"/>
        <v>219769.81263212964</v>
      </c>
      <c r="AJ8" s="68">
        <f t="shared" si="0"/>
        <v>207132.28057108304</v>
      </c>
      <c r="AK8" s="68">
        <f t="shared" si="0"/>
        <v>194355.73565736494</v>
      </c>
      <c r="AL8" s="68">
        <f t="shared" si="0"/>
        <v>181438.64874959594</v>
      </c>
      <c r="AM8" s="68">
        <f t="shared" si="0"/>
        <v>168379.47388584149</v>
      </c>
      <c r="AN8" s="68">
        <f t="shared" si="0"/>
        <v>155176.64809858572</v>
      </c>
      <c r="AO8" s="68">
        <f t="shared" si="0"/>
        <v>141828.59122767014</v>
      </c>
      <c r="AP8" s="68">
        <f t="shared" si="0"/>
        <v>128333.7057311745</v>
      </c>
      <c r="AQ8" s="68">
        <f t="shared" si="0"/>
        <v>114690.3764942174</v>
      </c>
      <c r="AR8" s="68">
        <f t="shared" si="0"/>
        <v>100896.97063565378</v>
      </c>
      <c r="AS8" s="68">
        <f t="shared" si="0"/>
        <v>86951.837312645963</v>
      </c>
      <c r="AT8" s="68">
        <f t="shared" si="0"/>
        <v>72853.307523085066</v>
      </c>
      <c r="AU8" s="68">
        <f t="shared" si="0"/>
        <v>58599.693905838998</v>
      </c>
      <c r="AV8" s="68">
        <f t="shared" si="0"/>
        <v>44189.290538803223</v>
      </c>
      <c r="AW8" s="68">
        <f t="shared" si="0"/>
        <v>29620.372734730052</v>
      </c>
      <c r="AX8" s="68">
        <f t="shared" si="0"/>
        <v>14891.196834812079</v>
      </c>
      <c r="AY8" s="69">
        <f t="shared" si="0"/>
        <v>-4.9894879339262843E-9</v>
      </c>
    </row>
    <row r="9" spans="1:51" ht="15.75" x14ac:dyDescent="0.25">
      <c r="A9" s="1"/>
      <c r="B9" s="10">
        <v>4.3999999999999997E-2</v>
      </c>
      <c r="C9" s="1" t="s">
        <v>12</v>
      </c>
      <c r="D9" s="1"/>
      <c r="E9" s="11" t="s">
        <v>22</v>
      </c>
      <c r="F9" s="11"/>
      <c r="G9" s="11"/>
      <c r="H9" s="11"/>
      <c r="I9" s="11"/>
      <c r="J9" s="1">
        <f>PV(B9/4,B8*4,-1,,0)</f>
        <v>32.219498798469417</v>
      </c>
      <c r="L9" s="16" t="s">
        <v>27</v>
      </c>
      <c r="M9" s="16"/>
      <c r="N9" s="16"/>
      <c r="O9" s="83" t="s">
        <v>25</v>
      </c>
      <c r="P9" s="84"/>
      <c r="Q9" s="85"/>
    </row>
    <row r="10" spans="1:51" ht="15.75" x14ac:dyDescent="0.25">
      <c r="A10" s="1"/>
      <c r="B10" s="10"/>
      <c r="C10" s="1"/>
      <c r="D10" s="1"/>
      <c r="E10" s="15" t="s">
        <v>23</v>
      </c>
      <c r="F10" s="15"/>
      <c r="G10" s="15"/>
      <c r="H10" s="15"/>
      <c r="I10" s="15"/>
      <c r="J10" s="12">
        <f>J8*J9</f>
        <v>485064.55441095709</v>
      </c>
      <c r="L10" s="16"/>
      <c r="M10" s="16"/>
      <c r="N10" s="16"/>
      <c r="O10" s="81">
        <v>1</v>
      </c>
      <c r="P10" s="74">
        <v>2</v>
      </c>
      <c r="Q10" s="82">
        <v>3</v>
      </c>
    </row>
    <row r="11" spans="1:51" ht="15.75" x14ac:dyDescent="0.25">
      <c r="A11" s="1"/>
      <c r="B11" s="1"/>
      <c r="C11" s="1"/>
      <c r="D11" s="1"/>
      <c r="N11" s="5">
        <f>J8/(1+B9/4)</f>
        <v>14891.196834817014</v>
      </c>
      <c r="O11" s="76">
        <f>N11-$B$7</f>
        <v>9891.196834817014</v>
      </c>
      <c r="P11" s="75">
        <f t="shared" ref="P11:Q11" si="1">O11-$B$7</f>
        <v>4891.196834817014</v>
      </c>
      <c r="Q11" s="77">
        <f t="shared" si="1"/>
        <v>-108.80316518298605</v>
      </c>
      <c r="R11" s="1"/>
    </row>
    <row r="12" spans="1:51" ht="16.5" thickBot="1" x14ac:dyDescent="0.3">
      <c r="A12" s="1"/>
      <c r="B12" s="1"/>
      <c r="C12" s="1"/>
      <c r="D12" s="1"/>
      <c r="N12" s="1" t="s">
        <v>24</v>
      </c>
      <c r="O12" s="78">
        <f>N11*1/12*$B$9</f>
        <v>54.601055060995712</v>
      </c>
      <c r="P12" s="79">
        <f>O11*1/12*$B$9</f>
        <v>36.267721727662384</v>
      </c>
      <c r="Q12" s="80">
        <f>P11*1/12*$B$9</f>
        <v>17.934388394329051</v>
      </c>
      <c r="R12" s="13">
        <f>O12+P12+Q12</f>
        <v>108.80316518298714</v>
      </c>
      <c r="S12" s="14" t="s">
        <v>26</v>
      </c>
      <c r="T12" s="14"/>
      <c r="U12" s="14"/>
    </row>
    <row r="13" spans="1:51" x14ac:dyDescent="0.25">
      <c r="A13" s="9" t="s">
        <v>2</v>
      </c>
      <c r="B13" s="8" t="s">
        <v>3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51" x14ac:dyDescent="0.25">
      <c r="A14" s="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51" x14ac:dyDescent="0.25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51" ht="15.75" x14ac:dyDescent="0.25">
      <c r="A16" s="1"/>
      <c r="B16" s="5">
        <v>4500000</v>
      </c>
      <c r="C16" s="1"/>
      <c r="D16" s="1"/>
      <c r="E16" s="11" t="s">
        <v>28</v>
      </c>
      <c r="F16" s="11"/>
      <c r="G16" s="11"/>
      <c r="H16" s="11"/>
      <c r="I16" s="11"/>
      <c r="J16" s="5">
        <f>B17*B16</f>
        <v>3825000</v>
      </c>
      <c r="K16" s="1"/>
      <c r="L16" s="1"/>
      <c r="M16" s="1"/>
      <c r="N16" s="1"/>
      <c r="O16" s="1"/>
      <c r="P16" s="1"/>
      <c r="Q16" s="1"/>
    </row>
    <row r="17" spans="1:21" ht="15.75" x14ac:dyDescent="0.25">
      <c r="A17" s="1"/>
      <c r="B17" s="2">
        <v>0.85</v>
      </c>
      <c r="C17" s="1"/>
      <c r="D17" s="1"/>
      <c r="E17" s="11" t="s">
        <v>29</v>
      </c>
      <c r="F17" s="11"/>
      <c r="G17" s="11"/>
      <c r="H17" s="11"/>
      <c r="I17" s="11"/>
      <c r="J17" s="1">
        <f>PMT(B19,B18,-1,,0)</f>
        <v>5.4275921045792611E-2</v>
      </c>
      <c r="K17" s="1"/>
      <c r="L17" s="1"/>
      <c r="M17" s="1"/>
      <c r="N17" s="1"/>
      <c r="O17" s="1"/>
      <c r="P17" s="1"/>
      <c r="Q17" s="1"/>
    </row>
    <row r="18" spans="1:21" ht="15.75" x14ac:dyDescent="0.25">
      <c r="A18" s="1"/>
      <c r="B18" s="6">
        <v>25</v>
      </c>
      <c r="C18" s="1" t="s">
        <v>14</v>
      </c>
      <c r="D18" s="1"/>
      <c r="E18" s="11" t="s">
        <v>30</v>
      </c>
      <c r="F18" s="11"/>
      <c r="G18" s="11"/>
      <c r="H18" s="11"/>
      <c r="I18" s="11"/>
      <c r="J18" s="5">
        <f>J17*J16</f>
        <v>207605.39800015674</v>
      </c>
      <c r="K18" s="1"/>
      <c r="L18" s="1"/>
      <c r="M18" s="1"/>
      <c r="N18" s="1"/>
      <c r="O18" s="1"/>
      <c r="P18" s="1"/>
      <c r="Q18" s="1"/>
    </row>
    <row r="19" spans="1:21" ht="15.75" x14ac:dyDescent="0.25">
      <c r="A19" s="1"/>
      <c r="B19" s="3">
        <v>2.5000000000000001E-2</v>
      </c>
      <c r="C19" s="1"/>
      <c r="D19" s="1"/>
      <c r="E19" s="11" t="s">
        <v>20</v>
      </c>
      <c r="F19" s="11"/>
      <c r="G19" s="11"/>
      <c r="H19" s="11"/>
      <c r="I19" s="11"/>
      <c r="J19" s="1">
        <f>(12+11/2*B19)</f>
        <v>12.137499999999999</v>
      </c>
      <c r="K19" s="1"/>
      <c r="L19" s="1"/>
      <c r="M19" s="1"/>
      <c r="N19" s="1"/>
      <c r="O19" s="1"/>
      <c r="P19" s="1"/>
      <c r="Q19" s="1"/>
    </row>
    <row r="20" spans="1:21" ht="15.75" x14ac:dyDescent="0.25">
      <c r="A20" s="1"/>
      <c r="B20" s="5">
        <v>17200</v>
      </c>
      <c r="C20" s="1"/>
      <c r="D20" s="1"/>
      <c r="E20" s="15" t="s">
        <v>31</v>
      </c>
      <c r="F20" s="15"/>
      <c r="G20" s="15"/>
      <c r="H20" s="15"/>
      <c r="I20" s="15"/>
      <c r="J20" s="12">
        <f>J18/J19</f>
        <v>17104.461215254934</v>
      </c>
      <c r="K20" s="1"/>
      <c r="L20" s="15" t="s">
        <v>41</v>
      </c>
      <c r="M20" s="15"/>
      <c r="N20" s="15"/>
      <c r="O20" s="15"/>
      <c r="P20" s="15"/>
      <c r="Q20" s="1"/>
    </row>
    <row r="21" spans="1:21" ht="15" customHeight="1" x14ac:dyDescent="0.25">
      <c r="A21" s="9" t="s">
        <v>4</v>
      </c>
      <c r="B21" s="8" t="s">
        <v>8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21" ht="15" customHeight="1" x14ac:dyDescent="0.25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21" ht="15" customHeight="1" thickBot="1" x14ac:dyDescent="0.3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21" ht="15.75" x14ac:dyDescent="0.25">
      <c r="A24" s="1"/>
      <c r="L24" s="22" t="s">
        <v>36</v>
      </c>
      <c r="M24" s="23"/>
      <c r="N24" s="23"/>
      <c r="O24" s="23"/>
      <c r="P24" s="23"/>
      <c r="Q24" s="23"/>
      <c r="R24" s="23"/>
      <c r="S24" s="23"/>
      <c r="T24" s="24"/>
    </row>
    <row r="25" spans="1:21" ht="15.75" x14ac:dyDescent="0.25">
      <c r="A25" s="1"/>
      <c r="B25" s="5">
        <v>2091000</v>
      </c>
      <c r="C25" s="1"/>
      <c r="D25" s="1"/>
      <c r="E25" s="11" t="s">
        <v>32</v>
      </c>
      <c r="F25" s="11"/>
      <c r="G25" s="11"/>
      <c r="H25" s="11"/>
      <c r="I25" s="11"/>
      <c r="J25" s="1">
        <f>(6+7/2*B28)</f>
        <v>6.14</v>
      </c>
      <c r="K25" s="1"/>
      <c r="L25" s="25"/>
      <c r="M25" s="18">
        <v>6</v>
      </c>
      <c r="N25" s="18">
        <v>5</v>
      </c>
      <c r="O25" s="18">
        <v>4</v>
      </c>
      <c r="P25" s="18">
        <v>3</v>
      </c>
      <c r="Q25" s="18">
        <v>2</v>
      </c>
      <c r="R25" s="18">
        <v>1</v>
      </c>
      <c r="S25" s="17"/>
      <c r="T25" s="26"/>
    </row>
    <row r="26" spans="1:21" ht="15.75" x14ac:dyDescent="0.25">
      <c r="A26" s="1"/>
      <c r="B26" s="6">
        <v>5</v>
      </c>
      <c r="C26" s="1" t="s">
        <v>14</v>
      </c>
      <c r="D26" s="1"/>
      <c r="E26" s="11" t="s">
        <v>33</v>
      </c>
      <c r="F26" s="11"/>
      <c r="G26" s="11"/>
      <c r="H26" s="11"/>
      <c r="I26" s="11"/>
      <c r="J26" s="5">
        <f>B29*J25</f>
        <v>168850</v>
      </c>
      <c r="K26" s="1"/>
      <c r="L26" s="25" t="s">
        <v>37</v>
      </c>
      <c r="M26" s="19">
        <f>$B$29</f>
        <v>27500</v>
      </c>
      <c r="N26" s="19">
        <f>M26</f>
        <v>27500</v>
      </c>
      <c r="O26" s="19">
        <f t="shared" ref="O26:R26" si="2">N26</f>
        <v>27500</v>
      </c>
      <c r="P26" s="19">
        <f t="shared" si="2"/>
        <v>27500</v>
      </c>
      <c r="Q26" s="19">
        <f t="shared" si="2"/>
        <v>27500</v>
      </c>
      <c r="R26" s="19">
        <f t="shared" si="2"/>
        <v>27500</v>
      </c>
      <c r="S26" s="20">
        <f>SUM(M26:R26)</f>
        <v>165000</v>
      </c>
      <c r="T26" s="27">
        <f>S26+S27</f>
        <v>168850</v>
      </c>
    </row>
    <row r="27" spans="1:21" ht="16.5" thickBot="1" x14ac:dyDescent="0.3">
      <c r="A27" s="1"/>
      <c r="B27" s="3">
        <v>0.02</v>
      </c>
      <c r="C27" s="1" t="s">
        <v>13</v>
      </c>
      <c r="D27" s="1"/>
      <c r="E27" s="11" t="s">
        <v>34</v>
      </c>
      <c r="F27" s="11"/>
      <c r="G27" s="11"/>
      <c r="H27" s="11"/>
      <c r="I27" s="11"/>
      <c r="J27" s="1">
        <f>FV(B28,2*B26,-1,,0)</f>
        <v>12.006107122958614</v>
      </c>
      <c r="K27" s="1"/>
      <c r="L27" s="29" t="s">
        <v>38</v>
      </c>
      <c r="M27" s="30">
        <f>M26*M25/6*$B$28</f>
        <v>1100</v>
      </c>
      <c r="N27" s="30">
        <f>N26*N25/6*$B$28</f>
        <v>916.66666666666674</v>
      </c>
      <c r="O27" s="30">
        <f>O26*O25/6*$B$28</f>
        <v>733.33333333333326</v>
      </c>
      <c r="P27" s="30">
        <f>P26*P25/6*$B$28</f>
        <v>550</v>
      </c>
      <c r="Q27" s="30">
        <f>Q26*Q25/6*$B$28</f>
        <v>366.66666666666663</v>
      </c>
      <c r="R27" s="30">
        <f>R26*R25/6*$B$28</f>
        <v>183.33333333333331</v>
      </c>
      <c r="S27" s="31">
        <f>SUM(M27:R27)</f>
        <v>3850</v>
      </c>
      <c r="T27" s="32"/>
    </row>
    <row r="28" spans="1:21" ht="15.75" x14ac:dyDescent="0.25">
      <c r="A28" s="1"/>
      <c r="B28" s="3">
        <f>B27*2</f>
        <v>0.04</v>
      </c>
      <c r="C28" t="s">
        <v>15</v>
      </c>
      <c r="D28" s="1"/>
      <c r="E28" s="15" t="s">
        <v>35</v>
      </c>
      <c r="F28" s="15"/>
      <c r="G28" s="15"/>
      <c r="H28" s="15"/>
      <c r="I28" s="15"/>
      <c r="J28" s="12">
        <f>J27*J26</f>
        <v>2027231.187711562</v>
      </c>
      <c r="K28" s="1"/>
      <c r="L28" s="33" t="s">
        <v>39</v>
      </c>
      <c r="M28" s="34"/>
      <c r="N28" s="34"/>
      <c r="O28" s="34"/>
      <c r="P28" s="34"/>
      <c r="Q28" s="34"/>
      <c r="R28" s="34"/>
      <c r="S28" s="34"/>
      <c r="T28" s="34"/>
      <c r="U28" s="35"/>
    </row>
    <row r="29" spans="1:21" ht="15.75" x14ac:dyDescent="0.25">
      <c r="A29" s="1"/>
      <c r="B29" s="5">
        <v>27500</v>
      </c>
      <c r="C29" s="1"/>
      <c r="D29" s="1"/>
      <c r="E29" s="15" t="s">
        <v>40</v>
      </c>
      <c r="F29" s="15"/>
      <c r="G29" s="15"/>
      <c r="H29" s="15"/>
      <c r="I29" s="15"/>
      <c r="J29" s="15"/>
      <c r="K29" s="1"/>
      <c r="L29" s="36">
        <v>1</v>
      </c>
      <c r="M29" s="18">
        <v>2</v>
      </c>
      <c r="N29" s="18">
        <v>3</v>
      </c>
      <c r="O29" s="18">
        <v>4</v>
      </c>
      <c r="P29" s="18">
        <v>5</v>
      </c>
      <c r="Q29" s="18">
        <v>6</v>
      </c>
      <c r="R29" s="18">
        <v>7</v>
      </c>
      <c r="S29" s="18">
        <v>8</v>
      </c>
      <c r="T29" s="18">
        <v>9</v>
      </c>
      <c r="U29" s="37">
        <v>10</v>
      </c>
    </row>
    <row r="30" spans="1:21" ht="16.5" thickBot="1" x14ac:dyDescent="0.3">
      <c r="A30" s="1"/>
      <c r="L30" s="38">
        <f>J26</f>
        <v>168850</v>
      </c>
      <c r="M30" s="39">
        <f>L30*(1+$B$28)+$J$26</f>
        <v>344454</v>
      </c>
      <c r="N30" s="39">
        <f t="shared" ref="N30:U30" si="3">M30*(1+$B$28)+$J$26</f>
        <v>527082.16</v>
      </c>
      <c r="O30" s="39">
        <f t="shared" si="3"/>
        <v>717015.44640000002</v>
      </c>
      <c r="P30" s="39">
        <f t="shared" si="3"/>
        <v>914546.06425599998</v>
      </c>
      <c r="Q30" s="39">
        <f t="shared" si="3"/>
        <v>1119977.90682624</v>
      </c>
      <c r="R30" s="39">
        <f t="shared" si="3"/>
        <v>1333627.0230992897</v>
      </c>
      <c r="S30" s="39">
        <f t="shared" si="3"/>
        <v>1555822.1040232615</v>
      </c>
      <c r="T30" s="39">
        <f t="shared" si="3"/>
        <v>1786904.988184192</v>
      </c>
      <c r="U30" s="40">
        <f t="shared" si="3"/>
        <v>2027231.1877115597</v>
      </c>
    </row>
    <row r="31" spans="1:21" ht="15.75" customHeight="1" x14ac:dyDescent="0.25">
      <c r="A31" s="9" t="s">
        <v>6</v>
      </c>
      <c r="B31" s="8" t="s">
        <v>10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21" ht="15.75" customHeight="1" thickBot="1" x14ac:dyDescent="0.3">
      <c r="A32" s="9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62" x14ac:dyDescent="0.25">
      <c r="A33" s="9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49" t="s">
        <v>48</v>
      </c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1"/>
    </row>
    <row r="34" spans="1:62" ht="15.75" x14ac:dyDescent="0.25">
      <c r="A34" s="1"/>
      <c r="B34" s="1">
        <v>45</v>
      </c>
      <c r="C34" s="1" t="s">
        <v>14</v>
      </c>
      <c r="D34" s="1"/>
      <c r="E34" s="11" t="s">
        <v>20</v>
      </c>
      <c r="F34" s="11"/>
      <c r="G34" s="11"/>
      <c r="H34" s="11"/>
      <c r="I34" s="11"/>
      <c r="J34" s="1">
        <f>(6+5/2*B35/2)</f>
        <v>6.05</v>
      </c>
      <c r="K34" s="1"/>
      <c r="L34" s="11" t="s">
        <v>45</v>
      </c>
      <c r="M34" s="11"/>
      <c r="N34" s="11"/>
      <c r="O34" s="41">
        <f>EFFECT(B35,2)</f>
        <v>4.0399999999999991E-2</v>
      </c>
      <c r="Q34" s="1"/>
      <c r="R34" s="36">
        <v>1</v>
      </c>
      <c r="S34" s="18">
        <v>2</v>
      </c>
      <c r="T34" s="17">
        <v>3</v>
      </c>
      <c r="U34" s="18">
        <v>4</v>
      </c>
      <c r="V34" s="18">
        <v>5</v>
      </c>
      <c r="W34" s="18">
        <v>6</v>
      </c>
      <c r="X34" s="18">
        <v>7</v>
      </c>
      <c r="Y34" s="17">
        <v>8</v>
      </c>
      <c r="Z34" s="18">
        <v>9</v>
      </c>
      <c r="AA34" s="18">
        <v>10</v>
      </c>
      <c r="AB34" s="18">
        <v>11</v>
      </c>
      <c r="AC34" s="18">
        <v>12</v>
      </c>
      <c r="AD34" s="17">
        <v>13</v>
      </c>
      <c r="AE34" s="18">
        <v>14</v>
      </c>
      <c r="AF34" s="18">
        <v>15</v>
      </c>
      <c r="AG34" s="18">
        <v>16</v>
      </c>
      <c r="AH34" s="18">
        <v>17</v>
      </c>
      <c r="AI34" s="17">
        <v>18</v>
      </c>
      <c r="AJ34" s="18">
        <v>19</v>
      </c>
      <c r="AK34" s="18">
        <v>20</v>
      </c>
      <c r="AL34" s="18">
        <v>21</v>
      </c>
      <c r="AM34" s="18">
        <v>22</v>
      </c>
      <c r="AN34" s="17">
        <v>23</v>
      </c>
      <c r="AO34" s="18">
        <v>24</v>
      </c>
      <c r="AP34" s="18">
        <v>25</v>
      </c>
      <c r="AQ34" s="18">
        <v>26</v>
      </c>
      <c r="AR34" s="18">
        <v>27</v>
      </c>
      <c r="AS34" s="17">
        <v>28</v>
      </c>
      <c r="AT34" s="18">
        <v>29</v>
      </c>
      <c r="AU34" s="18">
        <v>30</v>
      </c>
      <c r="AV34" s="18">
        <v>31</v>
      </c>
      <c r="AW34" s="18">
        <v>32</v>
      </c>
      <c r="AX34" s="17">
        <v>33</v>
      </c>
      <c r="AY34" s="18">
        <v>34</v>
      </c>
      <c r="AZ34" s="18">
        <v>35</v>
      </c>
      <c r="BA34" s="18">
        <v>36</v>
      </c>
      <c r="BB34" s="18">
        <v>37</v>
      </c>
      <c r="BC34" s="17">
        <v>38</v>
      </c>
      <c r="BD34" s="18">
        <v>39</v>
      </c>
      <c r="BE34" s="18">
        <v>40</v>
      </c>
      <c r="BF34" s="18">
        <v>41</v>
      </c>
      <c r="BG34" s="18">
        <v>42</v>
      </c>
      <c r="BH34" s="17">
        <v>43</v>
      </c>
      <c r="BI34" s="18">
        <v>44</v>
      </c>
      <c r="BJ34" s="37">
        <v>45</v>
      </c>
    </row>
    <row r="35" spans="1:62" ht="16.5" thickBot="1" x14ac:dyDescent="0.3">
      <c r="A35" s="1"/>
      <c r="B35" s="3">
        <v>0.04</v>
      </c>
      <c r="C35" s="1" t="s">
        <v>16</v>
      </c>
      <c r="D35" s="1"/>
      <c r="E35" s="11" t="s">
        <v>42</v>
      </c>
      <c r="F35" s="11"/>
      <c r="G35" s="11"/>
      <c r="H35" s="11"/>
      <c r="I35" s="11"/>
      <c r="J35" s="5">
        <f>B36*J34</f>
        <v>151250</v>
      </c>
      <c r="K35" s="1"/>
      <c r="L35" s="11" t="s">
        <v>46</v>
      </c>
      <c r="M35" s="11"/>
      <c r="N35" s="11"/>
      <c r="O35" s="1">
        <f>FV(O34,B34,-1,,1)</f>
        <v>127.29791348040061</v>
      </c>
      <c r="Q35" s="1"/>
      <c r="R35" s="43">
        <f>O36*(1+O34)+O36</f>
        <v>66318.354287272974</v>
      </c>
      <c r="S35" s="44">
        <f>R35*(1+$O$34)+$O$36</f>
        <v>101500.23993656633</v>
      </c>
      <c r="T35" s="44">
        <f>S35*(1+$O$34)+$O$36</f>
        <v>138103.47376609113</v>
      </c>
      <c r="U35" s="44">
        <f>T35*(1+$O$34)+$O$36</f>
        <v>176185.47824232874</v>
      </c>
      <c r="V35" s="44">
        <f>U35*(1+$O$34)+$O$36</f>
        <v>215805.99569940634</v>
      </c>
      <c r="W35" s="44">
        <f>V35*(1+$O$34)+$O$36</f>
        <v>257027.18206174986</v>
      </c>
      <c r="X35" s="44">
        <f>W35*(1+$O$34)+$O$36</f>
        <v>299913.70435313211</v>
      </c>
      <c r="Y35" s="44">
        <f>X35*(1+$O$34)+$O$36</f>
        <v>344532.84214508621</v>
      </c>
      <c r="Z35" s="44">
        <f>Y35*(1+$O$34)+$O$36</f>
        <v>390954.59310383524</v>
      </c>
      <c r="AA35" s="44">
        <f>Z35*(1+$O$34)+$O$36</f>
        <v>439251.78280131775</v>
      </c>
      <c r="AB35" s="44">
        <f>AA35*(1+$O$34)+$O$36</f>
        <v>489500.17896257853</v>
      </c>
      <c r="AC35" s="44">
        <f>AB35*(1+$O$34)+$O$36</f>
        <v>541778.61032875418</v>
      </c>
      <c r="AD35" s="44">
        <f>AC35*(1+$O$34)+$O$36</f>
        <v>596169.09032212337</v>
      </c>
      <c r="AE35" s="44">
        <f>AD35*(1+$O$34)+$O$36</f>
        <v>652756.94570722466</v>
      </c>
      <c r="AF35" s="44">
        <f>AE35*(1+$O$34)+$O$36</f>
        <v>711630.95044988405</v>
      </c>
      <c r="AG35" s="44">
        <f>AF35*(1+$O$34)+$O$36</f>
        <v>772883.46498414688</v>
      </c>
      <c r="AH35" s="44">
        <f>AG35*(1+$O$34)+$O$36</f>
        <v>836610.58110559394</v>
      </c>
      <c r="AI35" s="44">
        <f>AH35*(1+$O$34)+$O$36</f>
        <v>902912.27271834738</v>
      </c>
      <c r="AJ35" s="44">
        <f>AI35*(1+$O$34)+$O$36</f>
        <v>971892.55267225613</v>
      </c>
      <c r="AK35" s="44">
        <f>AJ35*(1+$O$34)+$O$36</f>
        <v>1043659.6359363027</v>
      </c>
      <c r="AL35" s="44">
        <f>AK35*(1+$O$34)+$O$36</f>
        <v>1118326.1093642169</v>
      </c>
      <c r="AM35" s="44">
        <f>AL35*(1+$O$34)+$O$36</f>
        <v>1196009.1083186187</v>
      </c>
      <c r="AN35" s="44">
        <f>AM35*(1+$O$34)+$O$36</f>
        <v>1276830.5004307784</v>
      </c>
      <c r="AO35" s="44">
        <f>AN35*(1+$O$34)+$O$36</f>
        <v>1360917.0767842692</v>
      </c>
      <c r="AP35" s="44">
        <f>AO35*(1+$O$34)+$O$36</f>
        <v>1448400.7508224412</v>
      </c>
      <c r="AQ35" s="44">
        <f>AP35*(1+$O$34)+$O$36</f>
        <v>1539418.7652917553</v>
      </c>
      <c r="AR35" s="44">
        <f>AQ35*(1+$O$34)+$O$36</f>
        <v>1634113.9075456297</v>
      </c>
      <c r="AS35" s="44">
        <f>AR35*(1+$O$34)+$O$36</f>
        <v>1732634.7335465606</v>
      </c>
      <c r="AT35" s="44">
        <f>AS35*(1+$O$34)+$O$36</f>
        <v>1835135.800917929</v>
      </c>
      <c r="AU35" s="44">
        <f>AT35*(1+$O$34)+$O$36</f>
        <v>1941777.9114111008</v>
      </c>
      <c r="AV35" s="44">
        <f>AU35*(1+$O$34)+$O$36</f>
        <v>2052728.3631681968</v>
      </c>
      <c r="AW35" s="44">
        <f>AV35*(1+$O$34)+$O$36</f>
        <v>2168161.2131762793</v>
      </c>
      <c r="AX35" s="44">
        <f>AW35*(1+$O$34)+$O$36</f>
        <v>2288257.5503246887</v>
      </c>
      <c r="AY35" s="44">
        <f>AX35*(1+$O$34)+$O$36</f>
        <v>2413205.7794938935</v>
      </c>
      <c r="AZ35" s="44">
        <f>AY35*(1+$O$34)+$O$36</f>
        <v>2543201.9171215342</v>
      </c>
      <c r="BA35" s="44">
        <f>AZ35*(1+$O$34)+$O$36</f>
        <v>2678449.8987093316</v>
      </c>
      <c r="BB35" s="44">
        <f>BA35*(1+$O$34)+$O$36</f>
        <v>2819161.8987532761</v>
      </c>
      <c r="BC35" s="44">
        <f>BB35*(1+$O$34)+$O$36</f>
        <v>2965558.6635989961</v>
      </c>
      <c r="BD35" s="44">
        <f>BC35*(1+$O$34)+$O$36</f>
        <v>3117869.8577444828</v>
      </c>
      <c r="BE35" s="44">
        <f>BD35*(1+$O$34)+$O$36</f>
        <v>3276334.4241334475</v>
      </c>
      <c r="BF35" s="39">
        <f>BE35*(1+$O$34)+$O$36</f>
        <v>3441200.959004526</v>
      </c>
      <c r="BG35" s="39">
        <f>BF35*(1+$O$34)+$O$36</f>
        <v>3612728.1018843963</v>
      </c>
      <c r="BH35" s="39">
        <f>BG35*(1+$O$34)+$O$36</f>
        <v>3791184.9413366131</v>
      </c>
      <c r="BI35" s="39">
        <f>BH35*(1+$O$34)+$O$36</f>
        <v>3976851.4371026997</v>
      </c>
      <c r="BJ35" s="40">
        <f>BI35*(1+$O$34)</f>
        <v>4137516.2351616486</v>
      </c>
    </row>
    <row r="36" spans="1:62" ht="15.75" x14ac:dyDescent="0.25">
      <c r="A36" s="1"/>
      <c r="B36" s="5">
        <v>25000</v>
      </c>
      <c r="C36" s="1"/>
      <c r="D36" s="1"/>
      <c r="E36" s="11" t="s">
        <v>43</v>
      </c>
      <c r="F36" s="11"/>
      <c r="G36" s="11"/>
      <c r="H36" s="11"/>
      <c r="I36" s="11"/>
      <c r="J36" s="1">
        <f>PV(B35/2,B37*2,-1,,0)</f>
        <v>27.35547924073818</v>
      </c>
      <c r="K36" s="1"/>
      <c r="L36" s="15" t="s">
        <v>47</v>
      </c>
      <c r="M36" s="15"/>
      <c r="N36" s="15"/>
      <c r="O36" s="12">
        <f>J37/O35</f>
        <v>32502.624136087521</v>
      </c>
      <c r="Q36" s="1"/>
      <c r="R36" s="45" t="s">
        <v>49</v>
      </c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7"/>
      <c r="BF36" s="42"/>
      <c r="BG36" s="42"/>
      <c r="BH36" s="42"/>
      <c r="BI36" s="42"/>
      <c r="BJ36" s="42"/>
    </row>
    <row r="37" spans="1:62" ht="16.5" thickBot="1" x14ac:dyDescent="0.3">
      <c r="A37" s="1"/>
      <c r="B37" s="1">
        <v>20</v>
      </c>
      <c r="C37" s="1" t="s">
        <v>14</v>
      </c>
      <c r="D37" s="1"/>
      <c r="E37" s="11" t="s">
        <v>44</v>
      </c>
      <c r="F37" s="11"/>
      <c r="G37" s="11"/>
      <c r="H37" s="11"/>
      <c r="I37" s="11"/>
      <c r="J37" s="5">
        <f>J36*J35</f>
        <v>4137516.23516165</v>
      </c>
      <c r="K37" s="1"/>
      <c r="L37" s="1"/>
      <c r="M37" s="1"/>
      <c r="N37" s="1"/>
      <c r="Q37" s="1"/>
      <c r="R37" s="43">
        <f>BJ35*(1+B35/2)-J35</f>
        <v>4069016.5598648814</v>
      </c>
      <c r="S37" s="44">
        <f>R37*(1+$B$35/2)-$J$35</f>
        <v>3999146.8910621791</v>
      </c>
      <c r="T37" s="44">
        <f t="shared" ref="T37:BE37" si="4">S37*(1+$B$35/2)-$J$35</f>
        <v>3927879.8288834225</v>
      </c>
      <c r="U37" s="44">
        <f t="shared" si="4"/>
        <v>3855187.4254610911</v>
      </c>
      <c r="V37" s="44">
        <f t="shared" si="4"/>
        <v>3781041.1739703128</v>
      </c>
      <c r="W37" s="44">
        <f t="shared" si="4"/>
        <v>3705411.9974497193</v>
      </c>
      <c r="X37" s="44">
        <f t="shared" si="4"/>
        <v>3628270.2373987138</v>
      </c>
      <c r="Y37" s="39">
        <f t="shared" si="4"/>
        <v>3549585.642146688</v>
      </c>
      <c r="Z37" s="39">
        <f t="shared" si="4"/>
        <v>3469327.3549896218</v>
      </c>
      <c r="AA37" s="39">
        <f t="shared" si="4"/>
        <v>3387463.9020894142</v>
      </c>
      <c r="AB37" s="39">
        <f t="shared" si="4"/>
        <v>3303963.1801312026</v>
      </c>
      <c r="AC37" s="39">
        <f t="shared" si="4"/>
        <v>3218792.4437338267</v>
      </c>
      <c r="AD37" s="39">
        <f t="shared" si="4"/>
        <v>3131918.2926085033</v>
      </c>
      <c r="AE37" s="39">
        <f t="shared" si="4"/>
        <v>3043306.6584606734</v>
      </c>
      <c r="AF37" s="39">
        <f t="shared" si="4"/>
        <v>2952922.7916298867</v>
      </c>
      <c r="AG37" s="39">
        <f t="shared" si="4"/>
        <v>2860731.2474624845</v>
      </c>
      <c r="AH37" s="39">
        <f t="shared" si="4"/>
        <v>2766695.8724117344</v>
      </c>
      <c r="AI37" s="39">
        <f t="shared" si="4"/>
        <v>2670779.7898599692</v>
      </c>
      <c r="AJ37" s="39">
        <f t="shared" si="4"/>
        <v>2572945.3856571685</v>
      </c>
      <c r="AK37" s="39">
        <f t="shared" si="4"/>
        <v>2473154.2933703121</v>
      </c>
      <c r="AL37" s="39">
        <f t="shared" si="4"/>
        <v>2371367.3792377184</v>
      </c>
      <c r="AM37" s="39">
        <f t="shared" si="4"/>
        <v>2267544.7268224726</v>
      </c>
      <c r="AN37" s="39">
        <f t="shared" si="4"/>
        <v>2161645.6213589222</v>
      </c>
      <c r="AO37" s="39">
        <f t="shared" si="4"/>
        <v>2053628.5337861008</v>
      </c>
      <c r="AP37" s="39">
        <f t="shared" si="4"/>
        <v>1943451.1044618229</v>
      </c>
      <c r="AQ37" s="39">
        <f t="shared" si="4"/>
        <v>1831070.1265510593</v>
      </c>
      <c r="AR37" s="39">
        <f t="shared" si="4"/>
        <v>1716441.5290820806</v>
      </c>
      <c r="AS37" s="39">
        <f t="shared" si="4"/>
        <v>1599520.3596637223</v>
      </c>
      <c r="AT37" s="39">
        <f t="shared" si="4"/>
        <v>1480260.7668569968</v>
      </c>
      <c r="AU37" s="39">
        <f t="shared" si="4"/>
        <v>1358615.9821941368</v>
      </c>
      <c r="AV37" s="39">
        <f t="shared" si="4"/>
        <v>1234538.3018380196</v>
      </c>
      <c r="AW37" s="39">
        <f t="shared" si="4"/>
        <v>1107979.0678747802</v>
      </c>
      <c r="AX37" s="39">
        <f t="shared" si="4"/>
        <v>978888.64923227578</v>
      </c>
      <c r="AY37" s="39">
        <f t="shared" si="4"/>
        <v>847216.42221692135</v>
      </c>
      <c r="AZ37" s="39">
        <f t="shared" si="4"/>
        <v>712910.75066125975</v>
      </c>
      <c r="BA37" s="39">
        <f t="shared" si="4"/>
        <v>575918.96567448496</v>
      </c>
      <c r="BB37" s="39">
        <f t="shared" si="4"/>
        <v>436187.34498797462</v>
      </c>
      <c r="BC37" s="39">
        <f t="shared" si="4"/>
        <v>293661.09188773413</v>
      </c>
      <c r="BD37" s="39">
        <f t="shared" si="4"/>
        <v>148284.31372548884</v>
      </c>
      <c r="BE37" s="48">
        <f t="shared" si="4"/>
        <v>-1.3678800314664841E-9</v>
      </c>
      <c r="BF37" s="42"/>
      <c r="BG37" s="42"/>
      <c r="BH37" s="42"/>
      <c r="BI37" s="42"/>
      <c r="BJ37" s="42"/>
    </row>
    <row r="38" spans="1:62" ht="15.75" x14ac:dyDescent="0.25">
      <c r="A38" s="1"/>
      <c r="Q38" s="1"/>
      <c r="R38" s="49" t="s">
        <v>50</v>
      </c>
      <c r="S38" s="50"/>
      <c r="T38" s="50"/>
      <c r="U38" s="50"/>
      <c r="V38" s="50"/>
      <c r="W38" s="50"/>
      <c r="X38" s="51"/>
    </row>
    <row r="39" spans="1:62" ht="15.75" x14ac:dyDescent="0.25">
      <c r="A39" s="1"/>
      <c r="N39" s="86" t="s">
        <v>54</v>
      </c>
      <c r="O39" s="86"/>
      <c r="P39" s="86"/>
      <c r="Q39" s="87">
        <f>J35/(1+Q40)</f>
        <v>148284.31372549018</v>
      </c>
      <c r="R39" s="52">
        <f>Q39-$B$36</f>
        <v>123284.31372549018</v>
      </c>
      <c r="S39" s="20">
        <f>R39-$B$36</f>
        <v>98284.313725490181</v>
      </c>
      <c r="T39" s="20">
        <f>S39-$B$36</f>
        <v>73284.313725490181</v>
      </c>
      <c r="U39" s="20">
        <f>T39-$B$36</f>
        <v>48284.313725490181</v>
      </c>
      <c r="V39" s="20">
        <f>U39-$B$36</f>
        <v>23284.313725490181</v>
      </c>
      <c r="W39" s="20">
        <f>V39-$B$36</f>
        <v>-1715.6862745098188</v>
      </c>
      <c r="X39" s="27">
        <f>W39+X40</f>
        <v>-1.5006662579253316E-11</v>
      </c>
    </row>
    <row r="40" spans="1:62" ht="16.5" thickBo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4"/>
      <c r="M40" s="1"/>
      <c r="N40" s="5"/>
      <c r="Q40" s="3">
        <f>B35/2</f>
        <v>0.02</v>
      </c>
      <c r="R40" s="38">
        <f>Q39*$Q$40/6</f>
        <v>494.28104575163394</v>
      </c>
      <c r="S40" s="39">
        <f>R39*$Q$40/6</f>
        <v>410.94771241830063</v>
      </c>
      <c r="T40" s="39">
        <f>S39*$Q$40/6</f>
        <v>327.61437908496731</v>
      </c>
      <c r="U40" s="39">
        <f>T39*$Q$40/6</f>
        <v>244.28104575163397</v>
      </c>
      <c r="V40" s="39">
        <f>U39*$Q$40/6</f>
        <v>160.9477124183006</v>
      </c>
      <c r="W40" s="39">
        <f>V39*$Q$40/6</f>
        <v>77.614379084967268</v>
      </c>
      <c r="X40" s="40">
        <f>SUM(R40:W40)</f>
        <v>1715.6862745098038</v>
      </c>
    </row>
    <row r="41" spans="1:62" x14ac:dyDescent="0.25">
      <c r="A41" s="9" t="s">
        <v>7</v>
      </c>
      <c r="B41" s="8" t="s">
        <v>11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62" x14ac:dyDescent="0.25">
      <c r="A42" s="9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62" ht="15.75" thickBot="1" x14ac:dyDescent="0.3">
      <c r="A43" s="9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62" ht="15.75" x14ac:dyDescent="0.25">
      <c r="A44" s="1"/>
      <c r="P44" s="1"/>
      <c r="Q44" s="22" t="s">
        <v>53</v>
      </c>
      <c r="R44" s="23"/>
      <c r="S44" s="23"/>
      <c r="T44" s="23"/>
      <c r="U44" s="23"/>
      <c r="V44" s="23"/>
      <c r="W44" s="23"/>
      <c r="X44" s="23"/>
      <c r="Y44" s="23"/>
      <c r="Z44" s="24"/>
      <c r="AA44" s="1"/>
      <c r="AC44" s="1"/>
      <c r="AE44" s="1"/>
      <c r="AG44" s="1"/>
      <c r="AI44" s="1"/>
    </row>
    <row r="45" spans="1:62" ht="15.75" x14ac:dyDescent="0.25">
      <c r="A45" s="1"/>
      <c r="P45" s="1"/>
      <c r="Q45" s="36">
        <v>1</v>
      </c>
      <c r="R45" s="17">
        <v>2</v>
      </c>
      <c r="S45" s="18">
        <v>3</v>
      </c>
      <c r="T45" s="17">
        <v>4</v>
      </c>
      <c r="U45" s="18">
        <v>5</v>
      </c>
      <c r="V45" s="17">
        <v>6</v>
      </c>
      <c r="W45" s="18">
        <v>7</v>
      </c>
      <c r="X45" s="17">
        <v>8</v>
      </c>
      <c r="Y45" s="18">
        <v>9</v>
      </c>
      <c r="Z45" s="26">
        <v>10</v>
      </c>
      <c r="AA45" s="1"/>
      <c r="AC45" s="1"/>
      <c r="AE45" s="1"/>
      <c r="AG45" s="1"/>
      <c r="AI45" s="1"/>
    </row>
    <row r="46" spans="1:62" ht="16.5" thickBot="1" x14ac:dyDescent="0.3">
      <c r="A46" s="1"/>
      <c r="B46" s="5">
        <v>750000</v>
      </c>
      <c r="C46" s="1"/>
      <c r="D46" s="1"/>
      <c r="E46" s="11" t="s">
        <v>18</v>
      </c>
      <c r="F46" s="11"/>
      <c r="G46" s="11"/>
      <c r="H46" s="11"/>
      <c r="I46" s="11"/>
      <c r="J46" s="4">
        <f>B46*(1+B48/2)^(2*B47)</f>
        <v>827859.66796874977</v>
      </c>
      <c r="K46" s="1"/>
      <c r="L46" s="1" t="s">
        <v>20</v>
      </c>
      <c r="M46" s="1"/>
      <c r="N46" s="1"/>
      <c r="O46" s="1">
        <f>(6+5/2*B48/2)</f>
        <v>6.0625</v>
      </c>
      <c r="P46" s="1"/>
      <c r="Q46" s="60">
        <f>J46*(1+B48/2)-J48</f>
        <v>753965.93792162102</v>
      </c>
      <c r="R46" s="61">
        <f>Q46*(1+$B$48/2)-$J$48</f>
        <v>678224.86462331412</v>
      </c>
      <c r="S46" s="61">
        <f>R46*(1+$B$48/2)-$J$48</f>
        <v>600590.26449254958</v>
      </c>
      <c r="T46" s="61">
        <f>S46*(1+$B$48/2)-$J$48</f>
        <v>521014.79935851588</v>
      </c>
      <c r="U46" s="61">
        <f>T46*(1+$B$48/2)-$J$48</f>
        <v>439449.94759613136</v>
      </c>
      <c r="V46" s="61">
        <f>U46*(1+$B$48/2)-$J$48</f>
        <v>355845.97453968716</v>
      </c>
      <c r="W46" s="55">
        <f>V46*(1+$B$48/2)-$J$48</f>
        <v>270151.90215683193</v>
      </c>
      <c r="X46" s="55">
        <f>W46*(1+$B$48/2)-$J$48</f>
        <v>182315.47796440529</v>
      </c>
      <c r="Y46" s="55">
        <f>X46*(1+$B$48/2)-$J$48</f>
        <v>92283.143167167989</v>
      </c>
      <c r="Z46" s="56">
        <f>Y46*(1+$B$48/2)-$J$48</f>
        <v>-2.3283064365386963E-10</v>
      </c>
      <c r="AA46" s="1"/>
      <c r="AC46" s="1"/>
      <c r="AE46" s="1"/>
      <c r="AG46" s="1"/>
      <c r="AI46" s="1"/>
    </row>
    <row r="47" spans="1:62" ht="15.75" x14ac:dyDescent="0.25">
      <c r="A47" s="1"/>
      <c r="B47" s="1">
        <v>2</v>
      </c>
      <c r="C47" s="1" t="s">
        <v>17</v>
      </c>
      <c r="D47" s="1"/>
      <c r="E47" s="11" t="s">
        <v>29</v>
      </c>
      <c r="F47" s="11"/>
      <c r="G47" s="11"/>
      <c r="H47" s="11"/>
      <c r="I47" s="11"/>
      <c r="J47" s="53">
        <f>PMT(B48/2,B49*2,-1,,0)</f>
        <v>0.11425876317714033</v>
      </c>
      <c r="K47" s="1"/>
      <c r="L47" s="59" t="s">
        <v>52</v>
      </c>
      <c r="M47" s="59"/>
      <c r="N47" s="59"/>
      <c r="O47" s="58">
        <f>J48/O46</f>
        <v>15602.510803521222</v>
      </c>
      <c r="P47" s="1"/>
      <c r="Q47" s="62" t="s">
        <v>50</v>
      </c>
      <c r="R47" s="63"/>
      <c r="S47" s="63"/>
      <c r="T47" s="63"/>
      <c r="U47" s="63"/>
      <c r="V47" s="64"/>
      <c r="W47" s="57"/>
      <c r="X47" s="57"/>
      <c r="Y47" s="57"/>
      <c r="Z47" s="57"/>
      <c r="AA47" s="1"/>
      <c r="AC47" s="1"/>
      <c r="AE47" s="1"/>
      <c r="AG47" s="1"/>
      <c r="AI47" s="1"/>
    </row>
    <row r="48" spans="1:62" ht="15.75" x14ac:dyDescent="0.25">
      <c r="A48" s="1"/>
      <c r="B48" s="3">
        <v>0.05</v>
      </c>
      <c r="C48" s="1" t="s">
        <v>16</v>
      </c>
      <c r="D48" s="1"/>
      <c r="E48" s="11" t="s">
        <v>51</v>
      </c>
      <c r="F48" s="11"/>
      <c r="G48" s="11"/>
      <c r="H48" s="11"/>
      <c r="I48" s="11"/>
      <c r="J48" s="4">
        <f>J46*J47</f>
        <v>94590.221746347408</v>
      </c>
      <c r="K48" s="1"/>
      <c r="P48" s="1"/>
      <c r="Q48" s="25">
        <v>1</v>
      </c>
      <c r="R48" s="17">
        <v>2</v>
      </c>
      <c r="S48" s="17">
        <v>3</v>
      </c>
      <c r="T48" s="17">
        <v>4</v>
      </c>
      <c r="U48" s="17">
        <v>5</v>
      </c>
      <c r="V48" s="26">
        <v>6</v>
      </c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24" ht="15.75" x14ac:dyDescent="0.25">
      <c r="A49" s="1"/>
      <c r="B49" s="1">
        <v>5</v>
      </c>
      <c r="C49" s="1" t="s">
        <v>14</v>
      </c>
      <c r="D49" s="1"/>
      <c r="J49" s="1"/>
      <c r="K49" s="1"/>
      <c r="L49" s="1"/>
      <c r="M49" s="1"/>
      <c r="N49" s="1"/>
      <c r="O49" s="1"/>
      <c r="P49" s="4">
        <f>J48/1.025</f>
        <v>92283.143167168208</v>
      </c>
      <c r="Q49" s="65">
        <f>P49-$O$47</f>
        <v>76680.63236364699</v>
      </c>
      <c r="R49" s="21">
        <f>Q49-$O$47</f>
        <v>61078.121560125772</v>
      </c>
      <c r="S49" s="21">
        <f>R49-$O$47</f>
        <v>45475.610756604554</v>
      </c>
      <c r="T49" s="21">
        <f>S49-$O$47</f>
        <v>29873.099953083332</v>
      </c>
      <c r="U49" s="21">
        <f>T49-$O$47</f>
        <v>14270.589149562111</v>
      </c>
      <c r="V49" s="66">
        <f>U49-$O$47</f>
        <v>-1331.9216539591107</v>
      </c>
    </row>
    <row r="50" spans="1:24" ht="16.5" thickBot="1" x14ac:dyDescent="0.3">
      <c r="A50" s="1"/>
      <c r="D50" s="1"/>
      <c r="E50" s="1"/>
      <c r="F50" s="1"/>
      <c r="G50" s="1"/>
      <c r="H50" s="1"/>
      <c r="I50" s="1"/>
      <c r="K50" s="1"/>
      <c r="L50" s="1"/>
      <c r="M50" s="1"/>
      <c r="N50" s="1"/>
      <c r="O50" s="1"/>
      <c r="P50" s="1"/>
      <c r="Q50" s="54">
        <f>P49*$B$48/12</f>
        <v>384.5130965298676</v>
      </c>
      <c r="R50" s="28">
        <f>Q49*$B$48/12</f>
        <v>319.50263484852911</v>
      </c>
      <c r="S50" s="28">
        <f>R49*$B$48/12</f>
        <v>254.49217316719071</v>
      </c>
      <c r="T50" s="28">
        <f>S49*$B$48/12</f>
        <v>189.48171148585232</v>
      </c>
      <c r="U50" s="28">
        <f>T49*$B$48/12</f>
        <v>124.47124980451389</v>
      </c>
      <c r="V50" s="67">
        <f>U49*$B$48/12</f>
        <v>59.460788123175462</v>
      </c>
      <c r="W50" s="7">
        <f>SUM(Q50:V50)</f>
        <v>1331.9216539591291</v>
      </c>
      <c r="X50" t="s">
        <v>24</v>
      </c>
    </row>
    <row r="51" spans="1:24" ht="15" customHeight="1" x14ac:dyDescent="0.25">
      <c r="A51" s="9" t="s">
        <v>9</v>
      </c>
      <c r="B51" s="8" t="s">
        <v>5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24" ht="15" customHeight="1" x14ac:dyDescent="0.25">
      <c r="A52" s="9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24" ht="15" customHeight="1" x14ac:dyDescent="0.25">
      <c r="A53" s="9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5" spans="1:24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24" ht="15.75" x14ac:dyDescent="0.25">
      <c r="A56" s="1"/>
      <c r="G56" s="1"/>
    </row>
    <row r="57" spans="1:24" ht="15.75" x14ac:dyDescent="0.25">
      <c r="A57" s="1"/>
    </row>
    <row r="58" spans="1:24" ht="15.75" x14ac:dyDescent="0.25">
      <c r="A58" s="1"/>
    </row>
    <row r="59" spans="1:24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24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24" ht="15.75" x14ac:dyDescent="0.25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24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24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24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.7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.7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.7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.7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.7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.7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.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.7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.7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.7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.7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.7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.7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.7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.7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.7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.7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.7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.7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.7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.7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.7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.7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.7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.7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.7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.7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.7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.7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.7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.7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.7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.7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.7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.7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.7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.7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.7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.7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.7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.7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.7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.7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.7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.7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.7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.7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.7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.7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.7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.7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.7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.7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.7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.7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.7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.7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.7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.7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.7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.7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.7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.7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.7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.7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.7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.7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.7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.7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.7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.7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.7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.7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.7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.7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.7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.7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.7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.7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.7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.7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.7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.7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.7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.7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.7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.7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.7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.7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.7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.7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.7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.7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.7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.7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.7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.7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.7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.7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.7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.7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.7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.7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.7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.7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.7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.7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.7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.7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.7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.7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.7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.7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.7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.7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.7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.7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.7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.7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.7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.7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.7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.7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.7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.7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.7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.7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.7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.7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.7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.7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.7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.7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.7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.7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.7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.7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.7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.7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.7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.7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.7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5.7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5.7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5.7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5.7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5.7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5.7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5.7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5.7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5.7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5.7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5.7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5.7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5.7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5.7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5.7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5.7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5.7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5.7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5.7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5.7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5.7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5.7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5.7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5.7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5.7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5.7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5.7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5.7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5.7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5.7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5.7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5.7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5.7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5.7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5.7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5.7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5.7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5.7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5.7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5.7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5.7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5.7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5.7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5.7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5.7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5.7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5.7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5.7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5.7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5.7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5.7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5.7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5.7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5.7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5.7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5.7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5.7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5.7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5.7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5.7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5.7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5.7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5.7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5.7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5.7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5.7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5.7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5.7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5.7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5.7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5.7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5.7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5.7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5.7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5.7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5.7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5.7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5.7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5.7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5.7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5.7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5.7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5.7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5.7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5.7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5.7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5.7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5.7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5.7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5.7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5.7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5.7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5.7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5.7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5.7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5.7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5.7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5.7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5.7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5.7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5.7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5.7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5.7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5.7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5.7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5.7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5.7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5.7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5.7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5.7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5.7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5.7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5.7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5.7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5.7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5.7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5.7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5.7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5.7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5.7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5.7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5.7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5.7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5.7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5.7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5.7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5.7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5.7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5.7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5.7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5.7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5.7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5.7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5.7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5.7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5.7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5.7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5.7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5.7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5.7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5.7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5.7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5.7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5.7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5.7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5.7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5.7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5.7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5.7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5.7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5.7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5.7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5.7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5.7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5.7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5.7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5.7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5.7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5.7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5.7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5.7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5.7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5.7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5.7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5.7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5.7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5.7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5.7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5.7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5.7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5.7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5.7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5.7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5.7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5.7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5.7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5.7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5.7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5.7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5.7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5.7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5.7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5.7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5.7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5.7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5.7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5.7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5.7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5.7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5.7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5.7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5.7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5.7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5.7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5.7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5.7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5.7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5.7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5.7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5.7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5.7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5.7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5.7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5.7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5.7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5.7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5.7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5.7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5.7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5.7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5.7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5.7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</sheetData>
  <mergeCells count="46">
    <mergeCell ref="R33:BJ33"/>
    <mergeCell ref="R38:X38"/>
    <mergeCell ref="E46:I46"/>
    <mergeCell ref="E47:I47"/>
    <mergeCell ref="E48:I48"/>
    <mergeCell ref="Q44:Z44"/>
    <mergeCell ref="Q47:V47"/>
    <mergeCell ref="E37:I37"/>
    <mergeCell ref="L34:N34"/>
    <mergeCell ref="L35:N35"/>
    <mergeCell ref="L36:N36"/>
    <mergeCell ref="R36:BE36"/>
    <mergeCell ref="E29:J29"/>
    <mergeCell ref="L20:P20"/>
    <mergeCell ref="E34:I34"/>
    <mergeCell ref="E35:I35"/>
    <mergeCell ref="E36:I36"/>
    <mergeCell ref="E25:I25"/>
    <mergeCell ref="E27:I27"/>
    <mergeCell ref="L24:T24"/>
    <mergeCell ref="E26:I26"/>
    <mergeCell ref="E28:I28"/>
    <mergeCell ref="E16:I16"/>
    <mergeCell ref="E17:I17"/>
    <mergeCell ref="E18:I18"/>
    <mergeCell ref="E19:I19"/>
    <mergeCell ref="E20:I20"/>
    <mergeCell ref="L9:N10"/>
    <mergeCell ref="L6:AY6"/>
    <mergeCell ref="O9:Q9"/>
    <mergeCell ref="B2:Q4"/>
    <mergeCell ref="A2:A4"/>
    <mergeCell ref="A13:A15"/>
    <mergeCell ref="B13:Q15"/>
    <mergeCell ref="A51:A53"/>
    <mergeCell ref="B41:Q43"/>
    <mergeCell ref="A21:A23"/>
    <mergeCell ref="B21:Q23"/>
    <mergeCell ref="A31:A33"/>
    <mergeCell ref="B31:Q33"/>
    <mergeCell ref="A41:A43"/>
    <mergeCell ref="B51:Q53"/>
    <mergeCell ref="E7:I7"/>
    <mergeCell ref="E8:I8"/>
    <mergeCell ref="E9:I9"/>
    <mergeCell ref="E10:I1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Příklady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Blanka</dc:creator>
  <cp:lastModifiedBy>Kucerkova, Blanka</cp:lastModifiedBy>
  <dcterms:created xsi:type="dcterms:W3CDTF">2023-03-08T21:14:12Z</dcterms:created>
  <dcterms:modified xsi:type="dcterms:W3CDTF">2024-03-07T13:42:17Z</dcterms:modified>
</cp:coreProperties>
</file>