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6"/>
  <workbookPr defaultThemeVersion="124226"/>
  <mc:AlternateContent xmlns:mc="http://schemas.openxmlformats.org/markup-compatibility/2006">
    <mc:Choice Requires="x15">
      <x15ac:absPath xmlns:x15ac="http://schemas.microsoft.com/office/spreadsheetml/2010/11/ac" url="F:\ZFM\"/>
    </mc:Choice>
  </mc:AlternateContent>
  <xr:revisionPtr revIDLastSave="0" documentId="13_ncr:1_{D0459ED4-75EB-4FEB-909F-7E8F93E6A0CF}" xr6:coauthVersionLast="36" xr6:coauthVersionMax="47" xr10:uidLastSave="{00000000-0000-0000-0000-000000000000}"/>
  <bookViews>
    <workbookView xWindow="-120" yWindow="-120" windowWidth="20730" windowHeight="11160" xr2:uid="{00000000-000D-0000-FFFF-FFFF00000000}"/>
  </bookViews>
  <sheets>
    <sheet name="FinMat" sheetId="5" r:id="rId1"/>
    <sheet name="Kriteria" sheetId="6" r:id="rId2"/>
    <sheet name="GRAF" sheetId="3" r:id="rId3"/>
  </sheets>
  <externalReferences>
    <externalReference r:id="rId4"/>
  </externalReferences>
  <calcPr calcId="191029"/>
</workbook>
</file>

<file path=xl/calcChain.xml><?xml version="1.0" encoding="utf-8"?>
<calcChain xmlns="http://schemas.openxmlformats.org/spreadsheetml/2006/main">
  <c r="D59" i="5" l="1"/>
  <c r="C58" i="5"/>
  <c r="D58" i="5" s="1"/>
  <c r="D57" i="5"/>
  <c r="J44" i="5" l="1"/>
  <c r="J45" i="5" s="1"/>
  <c r="J43" i="5"/>
  <c r="J30" i="5"/>
  <c r="K30" i="6" l="1"/>
  <c r="K28" i="6"/>
  <c r="K27" i="6"/>
  <c r="J28" i="6"/>
  <c r="J27" i="6"/>
  <c r="J30" i="6" l="1"/>
  <c r="D30" i="6"/>
  <c r="E30" i="6"/>
  <c r="F30" i="6"/>
  <c r="G30" i="6"/>
  <c r="H30" i="6"/>
  <c r="C30" i="6"/>
  <c r="M19" i="6"/>
  <c r="K19" i="6"/>
  <c r="K18" i="6"/>
  <c r="I19" i="6"/>
  <c r="I18" i="6"/>
  <c r="M18" i="6" s="1"/>
  <c r="I5" i="6"/>
  <c r="I4" i="6"/>
  <c r="J33" i="5"/>
  <c r="J29" i="5"/>
  <c r="J31" i="5" s="1"/>
  <c r="D31" i="5"/>
  <c r="D30" i="5"/>
  <c r="K14" i="5"/>
  <c r="N18" i="5" s="1"/>
  <c r="G14" i="5"/>
  <c r="E19" i="5" s="1"/>
  <c r="G19" i="5" s="1"/>
  <c r="C19" i="5"/>
  <c r="J6" i="5"/>
  <c r="J20" i="5" l="1"/>
  <c r="N20" i="5" s="1"/>
  <c r="J34" i="5"/>
  <c r="J35" i="5" s="1"/>
  <c r="C19" i="3" l="1"/>
  <c r="E19" i="3" s="1"/>
  <c r="C13" i="3"/>
  <c r="E13" i="3" s="1"/>
  <c r="C12" i="3"/>
  <c r="E12" i="3" s="1"/>
  <c r="C11" i="3"/>
  <c r="C14" i="3" s="1"/>
  <c r="E10" i="3"/>
  <c r="D10" i="3"/>
  <c r="C9" i="3"/>
  <c r="E9" i="3" s="1"/>
  <c r="E8" i="3"/>
  <c r="D8" i="3"/>
  <c r="H5" i="3"/>
  <c r="G5" i="3"/>
  <c r="F5" i="3"/>
  <c r="E5" i="3"/>
  <c r="D5" i="3"/>
  <c r="C5" i="3"/>
  <c r="E14" i="3" l="1"/>
  <c r="D14" i="3"/>
  <c r="C15" i="3"/>
  <c r="D11" i="3"/>
  <c r="D12" i="3"/>
  <c r="D13" i="3"/>
  <c r="D19" i="3"/>
  <c r="F8" i="3"/>
  <c r="F9" i="3"/>
  <c r="D9" i="3"/>
  <c r="E11" i="3"/>
  <c r="F10" i="3"/>
  <c r="F11" i="3"/>
  <c r="F12" i="3"/>
  <c r="F13" i="3"/>
  <c r="F14" i="3"/>
  <c r="F19" i="3"/>
  <c r="E15" i="3" l="1"/>
  <c r="D15" i="3"/>
  <c r="C16" i="3"/>
  <c r="F15" i="3"/>
  <c r="E16" i="3" l="1"/>
  <c r="D16" i="3"/>
  <c r="C17" i="3"/>
  <c r="F16" i="3"/>
  <c r="C18" i="3" l="1"/>
  <c r="E17" i="3"/>
  <c r="D17" i="3"/>
  <c r="F17" i="3"/>
  <c r="E18" i="3" l="1"/>
  <c r="D18" i="3"/>
  <c r="C20" i="3"/>
  <c r="F18" i="3"/>
  <c r="E20" i="3" l="1"/>
  <c r="C21" i="3"/>
  <c r="D20" i="3"/>
  <c r="F20" i="3"/>
  <c r="E21" i="3" l="1"/>
  <c r="D21" i="3"/>
  <c r="F21" i="3"/>
</calcChain>
</file>

<file path=xl/sharedStrings.xml><?xml version="1.0" encoding="utf-8"?>
<sst xmlns="http://schemas.openxmlformats.org/spreadsheetml/2006/main" count="106" uniqueCount="72">
  <si>
    <t>A</t>
  </si>
  <si>
    <t>B</t>
  </si>
  <si>
    <t>r=</t>
  </si>
  <si>
    <t>CF</t>
  </si>
  <si>
    <r>
      <t>CF</t>
    </r>
    <r>
      <rPr>
        <b/>
        <vertAlign val="subscript"/>
        <sz val="11"/>
        <color indexed="8"/>
        <rFont val="Calibri"/>
        <family val="2"/>
        <charset val="238"/>
      </rPr>
      <t>0</t>
    </r>
  </si>
  <si>
    <r>
      <t>CF</t>
    </r>
    <r>
      <rPr>
        <b/>
        <vertAlign val="subscript"/>
        <sz val="11"/>
        <color indexed="8"/>
        <rFont val="Calibri"/>
        <family val="2"/>
        <charset val="238"/>
      </rPr>
      <t>1</t>
    </r>
  </si>
  <si>
    <r>
      <t>CF</t>
    </r>
    <r>
      <rPr>
        <b/>
        <vertAlign val="subscript"/>
        <sz val="11"/>
        <color indexed="8"/>
        <rFont val="Calibri"/>
        <family val="2"/>
        <charset val="238"/>
      </rPr>
      <t>2</t>
    </r>
  </si>
  <si>
    <t>NPV</t>
  </si>
  <si>
    <t>Zhodnoťte následující investiční projekty metodou NPV a IRR, diskontní sazba činí 9 % a rozložení toku hotovosti v milionech je dáno následující tabulkou.</t>
  </si>
  <si>
    <r>
      <t>CF</t>
    </r>
    <r>
      <rPr>
        <b/>
        <vertAlign val="subscript"/>
        <sz val="11"/>
        <color indexed="8"/>
        <rFont val="Calibri"/>
        <family val="2"/>
        <charset val="238"/>
      </rPr>
      <t>3</t>
    </r>
  </si>
  <si>
    <r>
      <t>CF</t>
    </r>
    <r>
      <rPr>
        <b/>
        <vertAlign val="subscript"/>
        <sz val="11"/>
        <color indexed="8"/>
        <rFont val="Calibri"/>
        <family val="2"/>
        <charset val="238"/>
      </rPr>
      <t>4</t>
    </r>
  </si>
  <si>
    <r>
      <t>CF</t>
    </r>
    <r>
      <rPr>
        <b/>
        <vertAlign val="subscript"/>
        <sz val="11"/>
        <color indexed="8"/>
        <rFont val="Calibri"/>
        <family val="2"/>
        <charset val="238"/>
      </rPr>
      <t>5</t>
    </r>
  </si>
  <si>
    <t>B-A</t>
  </si>
  <si>
    <t>Zhodnoťte vzájemně se vylučující investiční projekty, je – li diskontní sazba 12 % a rozložení hotovostního toku v čase je dáno následující tabulkou. Projekty zhodnoťte pomocí ročního ekvivalentního toku hotovosti. Po skončení životnosti se počítá s cyklickou obměnou zařízení.</t>
  </si>
  <si>
    <t>anuita</t>
  </si>
  <si>
    <t>RCF</t>
  </si>
  <si>
    <r>
      <t>NPV</t>
    </r>
    <r>
      <rPr>
        <vertAlign val="subscript"/>
        <sz val="11"/>
        <color indexed="8"/>
        <rFont val="Calibri"/>
        <family val="2"/>
        <charset val="238"/>
      </rPr>
      <t xml:space="preserve">A </t>
    </r>
  </si>
  <si>
    <r>
      <t>NPV</t>
    </r>
    <r>
      <rPr>
        <vertAlign val="subscript"/>
        <sz val="11"/>
        <color indexed="8"/>
        <rFont val="Calibri"/>
        <family val="2"/>
        <charset val="238"/>
      </rPr>
      <t>B</t>
    </r>
    <r>
      <rPr>
        <sz val="11"/>
        <color theme="1"/>
        <rFont val="Calibri"/>
        <family val="2"/>
        <charset val="238"/>
        <scheme val="minor"/>
      </rPr>
      <t xml:space="preserve"> </t>
    </r>
  </si>
  <si>
    <r>
      <t>NPV</t>
    </r>
    <r>
      <rPr>
        <vertAlign val="subscript"/>
        <sz val="11"/>
        <color indexed="8"/>
        <rFont val="Calibri"/>
        <family val="2"/>
        <charset val="238"/>
      </rPr>
      <t>B-A</t>
    </r>
    <r>
      <rPr>
        <sz val="11"/>
        <color theme="1"/>
        <rFont val="Calibri"/>
        <family val="2"/>
        <charset val="238"/>
        <scheme val="minor"/>
      </rPr>
      <t xml:space="preserve"> </t>
    </r>
  </si>
  <si>
    <t>r [%]</t>
  </si>
  <si>
    <t>Kolik si vyberete po půl roce (180 dní), je-li úroková sazba 2 % p.a. a počáteční vklad činil
150 000 Kč?</t>
  </si>
  <si>
    <t>Kolik uspoříme za jeden rok, budeme – li pravidelně  na začátku měsíce
ukládat částku 1 500 Kč a roční úroková sazba bude činit a) 2,5 % p.a, b) 2,5 % p.a/p.m., c) 2,5 % p.a./p.q. ?</t>
  </si>
  <si>
    <t>Zavedli jste si spoření k důchodu. Budete ukládat pravidelně měsíčně částku 1.000,- Kč po dobu 40 let. Částku vkládáte na konci každého měsíce. Reálné zhodnocení takto ukládaných prostředků očekáváte ve výši 3 % p. a. Jakou maximální konstantní měsíční částku si můžete vybírat z naspořených peněz po dobu 30 let, za předpokladu, že reálné zhodnocení prostředků v tomto období budou 2 % p.a. (předpokládejte výběr prostředků na začátku měsíce)? Po celou dobu očekáváte roční míru inflace 2 %. Výnosy počítejte v celých procentech.</t>
  </si>
  <si>
    <t>diskont</t>
  </si>
  <si>
    <t>Jednoduche uroceni</t>
  </si>
  <si>
    <t>Složené úročení</t>
  </si>
  <si>
    <t>střadatel předlhůtní</t>
  </si>
  <si>
    <t>polhutni</t>
  </si>
  <si>
    <t>150000*(1+0,02*180/360)</t>
  </si>
  <si>
    <t>2,5 % p.a.</t>
  </si>
  <si>
    <t>a)</t>
  </si>
  <si>
    <t>jednoduché úročení</t>
  </si>
  <si>
    <t>b)</t>
  </si>
  <si>
    <t>2,5% p.a./p.m.</t>
  </si>
  <si>
    <t>složené úročení</t>
  </si>
  <si>
    <t>q=1+i</t>
  </si>
  <si>
    <t>stradatel</t>
  </si>
  <si>
    <t>p.m.</t>
  </si>
  <si>
    <t>c)</t>
  </si>
  <si>
    <t>2,5 % p.a./p.q.</t>
  </si>
  <si>
    <t>p.q.</t>
  </si>
  <si>
    <t>uspořená částka za čtvrtletí</t>
  </si>
  <si>
    <t>střadatel polhůtní</t>
  </si>
  <si>
    <t>(1+nominalni)=(1+realny)*(1+inflace)</t>
  </si>
  <si>
    <t>in</t>
  </si>
  <si>
    <t>spoření</t>
  </si>
  <si>
    <t>výběr</t>
  </si>
  <si>
    <t>uspořeno za 40 let</t>
  </si>
  <si>
    <t>za rok</t>
  </si>
  <si>
    <t>casta na rok</t>
  </si>
  <si>
    <t>měsíční výběr důchodu</t>
  </si>
  <si>
    <t>rozdílové hotovostní toky</t>
  </si>
  <si>
    <r>
      <t>CF</t>
    </r>
    <r>
      <rPr>
        <vertAlign val="subscript"/>
        <sz val="16"/>
        <color indexed="8"/>
        <rFont val="Calibri"/>
        <family val="2"/>
        <charset val="238"/>
      </rPr>
      <t>0</t>
    </r>
  </si>
  <si>
    <r>
      <t>CF</t>
    </r>
    <r>
      <rPr>
        <vertAlign val="subscript"/>
        <sz val="16"/>
        <color indexed="8"/>
        <rFont val="Calibri"/>
        <family val="2"/>
        <charset val="238"/>
      </rPr>
      <t>1</t>
    </r>
  </si>
  <si>
    <r>
      <t>CF</t>
    </r>
    <r>
      <rPr>
        <vertAlign val="subscript"/>
        <sz val="16"/>
        <color indexed="8"/>
        <rFont val="Calibri"/>
        <family val="2"/>
        <charset val="238"/>
      </rPr>
      <t>2</t>
    </r>
  </si>
  <si>
    <r>
      <t>CF</t>
    </r>
    <r>
      <rPr>
        <vertAlign val="subscript"/>
        <sz val="16"/>
        <color indexed="8"/>
        <rFont val="Calibri"/>
        <family val="2"/>
        <charset val="238"/>
      </rPr>
      <t>3</t>
    </r>
  </si>
  <si>
    <r>
      <t>CF</t>
    </r>
    <r>
      <rPr>
        <vertAlign val="subscript"/>
        <sz val="16"/>
        <color indexed="8"/>
        <rFont val="Calibri"/>
        <family val="2"/>
        <charset val="238"/>
      </rPr>
      <t>4</t>
    </r>
  </si>
  <si>
    <t>IRR</t>
  </si>
  <si>
    <t>grafické znázornění viz. List GRAF</t>
  </si>
  <si>
    <t>Jakou částku musíme dnes uložit na účet, aby z něj bylo možné po dobu 10 let při roční úrokové míře 4,8 % s čtvrtletním připisováním úroků (p.a./p.q.) na konci každého roku čerpat částku 55000 Kč?</t>
  </si>
  <si>
    <t>stradatel polhutni, jednoduche uroceni</t>
  </si>
  <si>
    <t>stradatel polhutni, slozene uroceni</t>
  </si>
  <si>
    <t>výběr duchodu</t>
  </si>
  <si>
    <t>vyber</t>
  </si>
  <si>
    <t>p.a/p.q.</t>
  </si>
  <si>
    <t>let</t>
  </si>
  <si>
    <t>ief</t>
  </si>
  <si>
    <t>zasobitel</t>
  </si>
  <si>
    <t>ulozit</t>
  </si>
  <si>
    <t>Jako vítěz soutěže si můžete vybrat mezi těmito peněžními odměnami:
a)	95 000 Kč okamžitě 
b)	165 000 Kč koncem 5. roku 
c)	Každý rok po dobu 10 let částku 15 000 Kč, která vám bude na začátku každého roku ukládána na účet s roční úrokovou sazbou 10,5 % p.a.
d)	9 900 Kč každý rok, po věčné časy 
Oportunitní výnos pro všechny varianty je 8 %. Kterou variantu si vyberete?</t>
  </si>
  <si>
    <t>d)</t>
  </si>
  <si>
    <t>pokud za diskont dosadíme tuto hodnotu (13,26 %), vyjde NPV u obou projektů stejně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</si>
</sst>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0.00\ &quot;Kč&quot;;[Red]\-#,##0.00\ &quot;Kč&quot;"/>
    <numFmt numFmtId="164" formatCode="#,##0.00\ &quot;Kč&quot;"/>
    <numFmt numFmtId="165" formatCode="0.000%"/>
    <numFmt numFmtId="166" formatCode="#,##0.00\ _K_č"/>
    <numFmt numFmtId="171" formatCode="0.000000"/>
    <numFmt numFmtId="177" formatCode="_-* #,##0.00\ _K_č_-;\-* #,##0.00\ _K_č_-;_-* &quot;-&quot;??\ _K_č_-;_-@_-"/>
  </numFmts>
  <fonts count="11" x14ac:knownFonts="1">
    <font>
      <sz val="11"/>
      <color theme="1"/>
      <name val="Calibri"/>
      <family val="2"/>
      <charset val="238"/>
      <scheme val="minor"/>
    </font>
    <font>
      <b/>
      <sz val="11"/>
      <color indexed="8"/>
      <name val="Calibri"/>
      <family val="2"/>
      <charset val="238"/>
    </font>
    <font>
      <b/>
      <vertAlign val="subscript"/>
      <sz val="11"/>
      <color indexed="8"/>
      <name val="Calibri"/>
      <family val="2"/>
      <charset val="238"/>
    </font>
    <font>
      <vertAlign val="subscript"/>
      <sz val="11"/>
      <color indexed="8"/>
      <name val="Calibri"/>
      <family val="2"/>
      <charset val="238"/>
    </font>
    <font>
      <b/>
      <sz val="11"/>
      <color theme="1"/>
      <name val="Calibri"/>
      <family val="2"/>
      <charset val="238"/>
      <scheme val="minor"/>
    </font>
    <font>
      <sz val="11"/>
      <color indexed="8"/>
      <name val="Calibri"/>
      <family val="2"/>
      <charset val="238"/>
    </font>
    <font>
      <sz val="11"/>
      <color theme="1"/>
      <name val="Calibri"/>
      <family val="2"/>
      <charset val="238"/>
      <scheme val="minor"/>
    </font>
    <font>
      <vertAlign val="subscript"/>
      <sz val="16"/>
      <color indexed="8"/>
      <name val="Calibri"/>
      <family val="2"/>
      <charset val="238"/>
    </font>
    <font>
      <sz val="12"/>
      <color indexed="8"/>
      <name val="Times New Roman"/>
      <family val="1"/>
      <charset val="238"/>
    </font>
    <font>
      <sz val="12"/>
      <color theme="1"/>
      <name val="Calibri"/>
      <family val="2"/>
      <charset val="238"/>
      <scheme val="minor"/>
    </font>
    <font>
      <sz val="10"/>
      <name val="Arial"/>
      <family val="2"/>
      <charset val="238"/>
    </font>
  </fonts>
  <fills count="6">
    <fill>
      <patternFill patternType="none"/>
    </fill>
    <fill>
      <patternFill patternType="gray125"/>
    </fill>
    <fill>
      <patternFill patternType="solid">
        <fgColor rgb="FFFFFF00"/>
        <bgColor indexed="64"/>
      </patternFill>
    </fill>
    <fill>
      <patternFill patternType="solid">
        <fgColor rgb="FFCCFFCC"/>
        <bgColor indexed="64"/>
      </patternFill>
    </fill>
    <fill>
      <patternFill patternType="solid">
        <fgColor theme="0"/>
        <bgColor indexed="64"/>
      </patternFill>
    </fill>
    <fill>
      <patternFill patternType="solid">
        <fgColor rgb="FF00B0F0"/>
        <bgColor indexed="64"/>
      </patternFill>
    </fill>
  </fills>
  <borders count="2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s>
  <cellStyleXfs count="4">
    <xf numFmtId="0" fontId="0" fillId="0" borderId="0"/>
    <xf numFmtId="9" fontId="6" fillId="0" borderId="0" applyFont="0" applyFill="0" applyBorder="0" applyAlignment="0" applyProtection="0"/>
    <xf numFmtId="0" fontId="10" fillId="0" borderId="0"/>
    <xf numFmtId="177" fontId="10" fillId="0" borderId="0" applyFont="0" applyFill="0" applyBorder="0" applyAlignment="0" applyProtection="0"/>
  </cellStyleXfs>
  <cellXfs count="63">
    <xf numFmtId="0" fontId="0" fillId="0" borderId="0" xfId="0"/>
    <xf numFmtId="0" fontId="0" fillId="0" borderId="0" xfId="0" applyAlignment="1">
      <alignment horizontal="right"/>
    </xf>
    <xf numFmtId="9" fontId="0" fillId="0" borderId="0" xfId="0" applyNumberFormat="1" applyAlignment="1">
      <alignment horizontal="left"/>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Fill="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164" fontId="0" fillId="0" borderId="0" xfId="0" applyNumberFormat="1"/>
    <xf numFmtId="0" fontId="1" fillId="0" borderId="18" xfId="0" applyFont="1" applyBorder="1" applyAlignment="1">
      <alignment horizontal="center" vertical="center"/>
    </xf>
    <xf numFmtId="3" fontId="0" fillId="0" borderId="14" xfId="0" applyNumberFormat="1" applyBorder="1" applyAlignment="1">
      <alignment horizontal="center" vertical="center"/>
    </xf>
    <xf numFmtId="3" fontId="0" fillId="0" borderId="15" xfId="0" applyNumberFormat="1" applyBorder="1" applyAlignment="1">
      <alignment horizontal="center" vertical="center"/>
    </xf>
    <xf numFmtId="3" fontId="0" fillId="0" borderId="17" xfId="0" applyNumberFormat="1" applyBorder="1" applyAlignment="1">
      <alignment horizontal="center" vertical="center"/>
    </xf>
    <xf numFmtId="3" fontId="0" fillId="0" borderId="16" xfId="0" applyNumberFormat="1" applyBorder="1" applyAlignment="1">
      <alignment horizontal="center" vertical="center"/>
    </xf>
    <xf numFmtId="3" fontId="0" fillId="0" borderId="1" xfId="0" applyNumberFormat="1" applyBorder="1" applyAlignment="1">
      <alignment horizontal="center" vertical="center"/>
    </xf>
    <xf numFmtId="3" fontId="0" fillId="0" borderId="2" xfId="0" applyNumberFormat="1" applyBorder="1" applyAlignment="1">
      <alignment horizontal="center" vertical="center"/>
    </xf>
    <xf numFmtId="0" fontId="1" fillId="0" borderId="0" xfId="0" applyFont="1" applyBorder="1" applyAlignment="1">
      <alignment horizontal="center" vertical="center"/>
    </xf>
    <xf numFmtId="164" fontId="4" fillId="2" borderId="0" xfId="0" applyNumberFormat="1" applyFont="1" applyFill="1"/>
    <xf numFmtId="0" fontId="1" fillId="0" borderId="19" xfId="0" applyFont="1" applyBorder="1" applyAlignment="1">
      <alignment horizontal="center" vertical="center"/>
    </xf>
    <xf numFmtId="0" fontId="0" fillId="0" borderId="20" xfId="0" applyBorder="1" applyAlignment="1">
      <alignment horizontal="center" vertical="center"/>
    </xf>
    <xf numFmtId="0" fontId="0" fillId="0" borderId="6" xfId="0" applyBorder="1"/>
    <xf numFmtId="0" fontId="0" fillId="0" borderId="7" xfId="0" applyBorder="1"/>
    <xf numFmtId="0" fontId="0" fillId="0" borderId="8" xfId="0" applyBorder="1"/>
    <xf numFmtId="166" fontId="0" fillId="0" borderId="0" xfId="0" applyNumberFormat="1"/>
    <xf numFmtId="10" fontId="0" fillId="0" borderId="0" xfId="0" applyNumberFormat="1" applyAlignment="1">
      <alignment horizontal="left"/>
    </xf>
    <xf numFmtId="0" fontId="5" fillId="0" borderId="0" xfId="0" applyFont="1" applyFill="1" applyBorder="1" applyAlignment="1">
      <alignment horizontal="center" vertical="center"/>
    </xf>
    <xf numFmtId="0" fontId="4" fillId="0" borderId="0" xfId="0" applyFont="1"/>
    <xf numFmtId="9" fontId="4" fillId="0" borderId="0" xfId="1" applyFont="1"/>
    <xf numFmtId="8" fontId="0" fillId="0" borderId="0" xfId="0" applyNumberFormat="1"/>
    <xf numFmtId="0" fontId="0" fillId="0" borderId="0" xfId="0" applyNumberFormat="1"/>
    <xf numFmtId="9" fontId="0" fillId="0" borderId="0" xfId="1" applyFont="1"/>
    <xf numFmtId="10" fontId="0" fillId="0" borderId="0" xfId="1" applyNumberFormat="1" applyFont="1"/>
    <xf numFmtId="165" fontId="0" fillId="0" borderId="0" xfId="1" applyNumberFormat="1" applyFont="1"/>
    <xf numFmtId="3" fontId="0" fillId="0" borderId="0" xfId="0" applyNumberFormat="1"/>
    <xf numFmtId="8" fontId="4" fillId="2" borderId="0" xfId="0" applyNumberFormat="1" applyFont="1" applyFill="1"/>
    <xf numFmtId="0" fontId="5" fillId="0" borderId="9" xfId="0" applyFont="1" applyBorder="1" applyAlignment="1">
      <alignment horizontal="center" vertical="center"/>
    </xf>
    <xf numFmtId="3" fontId="0" fillId="0" borderId="14" xfId="0" applyNumberFormat="1" applyFont="1" applyBorder="1" applyAlignment="1">
      <alignment horizontal="center" vertical="center"/>
    </xf>
    <xf numFmtId="3" fontId="0" fillId="0" borderId="15" xfId="0" applyNumberFormat="1" applyFont="1" applyBorder="1" applyAlignment="1">
      <alignment horizontal="center" vertical="center"/>
    </xf>
    <xf numFmtId="3" fontId="0" fillId="0" borderId="17" xfId="0" applyNumberFormat="1" applyFont="1" applyBorder="1" applyAlignment="1">
      <alignment horizontal="center" vertical="center"/>
    </xf>
    <xf numFmtId="10" fontId="0" fillId="0" borderId="0" xfId="0" applyNumberFormat="1"/>
    <xf numFmtId="0" fontId="0" fillId="0" borderId="0" xfId="0" applyAlignment="1">
      <alignment wrapText="1"/>
    </xf>
    <xf numFmtId="2" fontId="0" fillId="0" borderId="0" xfId="0" applyNumberFormat="1" applyAlignment="1">
      <alignment wrapText="1"/>
    </xf>
    <xf numFmtId="0" fontId="8" fillId="3" borderId="0" xfId="0" applyFont="1" applyFill="1" applyAlignment="1">
      <alignment horizontal="left" vertical="center"/>
    </xf>
    <xf numFmtId="0" fontId="9" fillId="3" borderId="0" xfId="0" applyFont="1" applyFill="1" applyAlignment="1">
      <alignment horizontal="left"/>
    </xf>
    <xf numFmtId="0" fontId="8" fillId="3" borderId="0" xfId="0" applyFont="1" applyFill="1" applyAlignment="1">
      <alignment horizontal="left" vertical="center" wrapText="1"/>
    </xf>
    <xf numFmtId="0" fontId="9" fillId="3" borderId="0" xfId="0" applyFont="1" applyFill="1" applyAlignment="1">
      <alignment horizontal="left" wrapText="1"/>
    </xf>
    <xf numFmtId="0" fontId="9" fillId="3" borderId="0" xfId="0" applyFont="1" applyFill="1" applyAlignment="1">
      <alignment wrapText="1"/>
    </xf>
    <xf numFmtId="0" fontId="0" fillId="3" borderId="0" xfId="0" applyFill="1" applyAlignment="1">
      <alignment vertical="center" wrapText="1"/>
    </xf>
    <xf numFmtId="164" fontId="4" fillId="4" borderId="0" xfId="0" applyNumberFormat="1" applyFont="1" applyFill="1"/>
    <xf numFmtId="171" fontId="0" fillId="0" borderId="0" xfId="0" applyNumberFormat="1"/>
    <xf numFmtId="0" fontId="0" fillId="3" borderId="0" xfId="0" applyFill="1" applyAlignment="1">
      <alignment horizontal="left" vertical="center" wrapText="1"/>
    </xf>
    <xf numFmtId="3" fontId="4" fillId="2" borderId="0" xfId="0" applyNumberFormat="1" applyFont="1" applyFill="1"/>
    <xf numFmtId="0" fontId="0" fillId="5" borderId="0" xfId="0" applyFill="1"/>
  </cellXfs>
  <cellStyles count="4">
    <cellStyle name="Čárka 2" xfId="3" xr:uid="{8C976392-8888-4F0C-8BDB-55C1AF8BA858}"/>
    <cellStyle name="Normální" xfId="0" builtinId="0"/>
    <cellStyle name="Normální 2" xfId="2" xr:uid="{0E8BD637-A646-4F53-9566-D4A98038A4AC}"/>
    <cellStyle name="Procenta" xfId="1" builtinId="5"/>
  </cellStyles>
  <dxfs count="0"/>
  <tableStyles count="0" defaultTableStyle="TableStyleMedium2" defaultPivotStyle="PivotStyleLight16"/>
  <colors>
    <mruColors>
      <color rgb="FFCCFFCC"/>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cs-CZ" b="1"/>
              <a:t>Závislost NPV na diskontu</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cs-CZ"/>
        </a:p>
      </c:txPr>
    </c:title>
    <c:autoTitleDeleted val="0"/>
    <c:plotArea>
      <c:layout>
        <c:manualLayout>
          <c:layoutTarget val="inner"/>
          <c:xMode val="edge"/>
          <c:yMode val="edge"/>
          <c:x val="5.6086593260548795E-2"/>
          <c:y val="9.0906862745098044E-2"/>
          <c:w val="0.91627921506109966"/>
          <c:h val="0.82606588698471517"/>
        </c:manualLayout>
      </c:layout>
      <c:scatterChart>
        <c:scatterStyle val="smoothMarker"/>
        <c:varyColors val="0"/>
        <c:ser>
          <c:idx val="0"/>
          <c:order val="0"/>
          <c:tx>
            <c:strRef>
              <c:f>GRAF!$D$7</c:f>
              <c:strCache>
                <c:ptCount val="1"/>
                <c:pt idx="0">
                  <c:v>NPVA </c:v>
                </c:pt>
              </c:strCache>
            </c:strRef>
          </c:tx>
          <c:spPr>
            <a:ln w="25400" cap="rnd">
              <a:solidFill>
                <a:srgbClr val="00B0F0"/>
              </a:solidFill>
              <a:round/>
            </a:ln>
            <a:effectLst/>
          </c:spPr>
          <c:marker>
            <c:symbol val="circle"/>
            <c:size val="5"/>
            <c:spPr>
              <a:solidFill>
                <a:schemeClr val="accent1"/>
              </a:solidFill>
              <a:ln w="9525">
                <a:solidFill>
                  <a:schemeClr val="accent1"/>
                </a:solidFill>
              </a:ln>
              <a:effectLst/>
            </c:spPr>
          </c:marker>
          <c:xVal>
            <c:numRef>
              <c:f>GRAF!$C$8:$C$21</c:f>
              <c:numCache>
                <c:formatCode>0%</c:formatCode>
                <c:ptCount val="14"/>
                <c:pt idx="0">
                  <c:v>0</c:v>
                </c:pt>
                <c:pt idx="1">
                  <c:v>0.05</c:v>
                </c:pt>
                <c:pt idx="2">
                  <c:v>0.09</c:v>
                </c:pt>
                <c:pt idx="3">
                  <c:v>0.1</c:v>
                </c:pt>
                <c:pt idx="4" formatCode="0.00%">
                  <c:v>0.13260674894892666</c:v>
                </c:pt>
                <c:pt idx="5" formatCode="0.00%">
                  <c:v>0.13898281424501757</c:v>
                </c:pt>
                <c:pt idx="6">
                  <c:v>0.15000000000000002</c:v>
                </c:pt>
                <c:pt idx="7">
                  <c:v>0.2</c:v>
                </c:pt>
                <c:pt idx="8">
                  <c:v>0.25</c:v>
                </c:pt>
                <c:pt idx="9">
                  <c:v>0.3</c:v>
                </c:pt>
                <c:pt idx="10">
                  <c:v>0.35</c:v>
                </c:pt>
                <c:pt idx="11" formatCode="0.00%">
                  <c:v>0.39357286602513319</c:v>
                </c:pt>
                <c:pt idx="12">
                  <c:v>0.39999999999999997</c:v>
                </c:pt>
                <c:pt idx="13">
                  <c:v>0.44999999999999996</c:v>
                </c:pt>
              </c:numCache>
            </c:numRef>
          </c:xVal>
          <c:yVal>
            <c:numRef>
              <c:f>GRAF!$D$8:$D$21</c:f>
              <c:numCache>
                <c:formatCode>#\ ##0.00\ _K_č</c:formatCode>
                <c:ptCount val="14"/>
                <c:pt idx="0">
                  <c:v>5.05</c:v>
                </c:pt>
                <c:pt idx="1">
                  <c:v>3.9006384881274974</c:v>
                </c:pt>
                <c:pt idx="2">
                  <c:v>3.1461566389752553</c:v>
                </c:pt>
                <c:pt idx="3">
                  <c:v>2.9765046475961014</c:v>
                </c:pt>
                <c:pt idx="4">
                  <c:v>2.4687714150722027</c:v>
                </c:pt>
                <c:pt idx="5">
                  <c:v>2.3769516570855798</c:v>
                </c:pt>
                <c:pt idx="6">
                  <c:v>2.2235742641434753</c:v>
                </c:pt>
                <c:pt idx="7">
                  <c:v>1.6027263374485603</c:v>
                </c:pt>
                <c:pt idx="8">
                  <c:v>1.0851680000000004</c:v>
                </c:pt>
                <c:pt idx="9">
                  <c:v>0.6493905083047613</c:v>
                </c:pt>
                <c:pt idx="10">
                  <c:v>0.27910563849915437</c:v>
                </c:pt>
                <c:pt idx="11">
                  <c:v>1.8953727476400672E-12</c:v>
                </c:pt>
                <c:pt idx="12">
                  <c:v>-3.8177545070506635E-2</c:v>
                </c:pt>
                <c:pt idx="13">
                  <c:v>-0.31214994586602618</c:v>
                </c:pt>
              </c:numCache>
            </c:numRef>
          </c:yVal>
          <c:smooth val="1"/>
          <c:extLst>
            <c:ext xmlns:c16="http://schemas.microsoft.com/office/drawing/2014/chart" uri="{C3380CC4-5D6E-409C-BE32-E72D297353CC}">
              <c16:uniqueId val="{00000000-B7D2-49A6-A630-31E0FC581BA4}"/>
            </c:ext>
          </c:extLst>
        </c:ser>
        <c:ser>
          <c:idx val="1"/>
          <c:order val="1"/>
          <c:tx>
            <c:strRef>
              <c:f>GRAF!$E$7</c:f>
              <c:strCache>
                <c:ptCount val="1"/>
                <c:pt idx="0">
                  <c:v>NPVB </c:v>
                </c:pt>
              </c:strCache>
            </c:strRef>
          </c:tx>
          <c:spPr>
            <a:ln w="25400" cap="rnd">
              <a:solidFill>
                <a:srgbClr val="FF0000"/>
              </a:solidFill>
              <a:round/>
            </a:ln>
            <a:effectLst/>
          </c:spPr>
          <c:marker>
            <c:symbol val="circle"/>
            <c:size val="5"/>
            <c:spPr>
              <a:solidFill>
                <a:schemeClr val="accent2"/>
              </a:solidFill>
              <a:ln w="9525">
                <a:solidFill>
                  <a:schemeClr val="accent2"/>
                </a:solidFill>
              </a:ln>
              <a:effectLst/>
            </c:spPr>
          </c:marker>
          <c:xVal>
            <c:numRef>
              <c:f>GRAF!$C$8:$C$21</c:f>
              <c:numCache>
                <c:formatCode>0%</c:formatCode>
                <c:ptCount val="14"/>
                <c:pt idx="0">
                  <c:v>0</c:v>
                </c:pt>
                <c:pt idx="1">
                  <c:v>0.05</c:v>
                </c:pt>
                <c:pt idx="2">
                  <c:v>0.09</c:v>
                </c:pt>
                <c:pt idx="3">
                  <c:v>0.1</c:v>
                </c:pt>
                <c:pt idx="4" formatCode="0.00%">
                  <c:v>0.13260674894892666</c:v>
                </c:pt>
                <c:pt idx="5" formatCode="0.00%">
                  <c:v>0.13898281424501757</c:v>
                </c:pt>
                <c:pt idx="6">
                  <c:v>0.15000000000000002</c:v>
                </c:pt>
                <c:pt idx="7">
                  <c:v>0.2</c:v>
                </c:pt>
                <c:pt idx="8">
                  <c:v>0.25</c:v>
                </c:pt>
                <c:pt idx="9">
                  <c:v>0.3</c:v>
                </c:pt>
                <c:pt idx="10">
                  <c:v>0.35</c:v>
                </c:pt>
                <c:pt idx="11" formatCode="0.00%">
                  <c:v>0.39357286602513319</c:v>
                </c:pt>
                <c:pt idx="12">
                  <c:v>0.39999999999999997</c:v>
                </c:pt>
                <c:pt idx="13">
                  <c:v>0.44999999999999996</c:v>
                </c:pt>
              </c:numCache>
            </c:numRef>
          </c:xVal>
          <c:yVal>
            <c:numRef>
              <c:f>GRAF!$E$8:$E$21</c:f>
              <c:numCache>
                <c:formatCode>#\ ##0.00\ _K_č</c:formatCode>
                <c:ptCount val="14"/>
                <c:pt idx="0">
                  <c:v>72.5</c:v>
                </c:pt>
                <c:pt idx="1">
                  <c:v>41.179086903090763</c:v>
                </c:pt>
                <c:pt idx="2">
                  <c:v>20.734480321459301</c:v>
                </c:pt>
                <c:pt idx="3">
                  <c:v>16.151405455414704</c:v>
                </c:pt>
                <c:pt idx="4">
                  <c:v>2.4687714167030776</c:v>
                </c:pt>
                <c:pt idx="5">
                  <c:v>0</c:v>
                </c:pt>
                <c:pt idx="6">
                  <c:v>-4.1198472486627509</c:v>
                </c:pt>
                <c:pt idx="7">
                  <c:v>-20.741705246913568</c:v>
                </c:pt>
                <c:pt idx="8">
                  <c:v>-34.524799999999999</c:v>
                </c:pt>
                <c:pt idx="9">
                  <c:v>-46.071700786171576</c:v>
                </c:pt>
                <c:pt idx="10">
                  <c:v>-55.836542114322725</c:v>
                </c:pt>
                <c:pt idx="11">
                  <c:v>-63.165677521487979</c:v>
                </c:pt>
                <c:pt idx="12">
                  <c:v>-64.165972511453546</c:v>
                </c:pt>
                <c:pt idx="13">
                  <c:v>-71.327727666548569</c:v>
                </c:pt>
              </c:numCache>
            </c:numRef>
          </c:yVal>
          <c:smooth val="1"/>
          <c:extLst>
            <c:ext xmlns:c16="http://schemas.microsoft.com/office/drawing/2014/chart" uri="{C3380CC4-5D6E-409C-BE32-E72D297353CC}">
              <c16:uniqueId val="{00000001-B7D2-49A6-A630-31E0FC581BA4}"/>
            </c:ext>
          </c:extLst>
        </c:ser>
        <c:ser>
          <c:idx val="2"/>
          <c:order val="2"/>
          <c:tx>
            <c:strRef>
              <c:f>GRAF!$F$7</c:f>
              <c:strCache>
                <c:ptCount val="1"/>
                <c:pt idx="0">
                  <c:v>NPVB-A </c:v>
                </c:pt>
              </c:strCache>
            </c:strRef>
          </c:tx>
          <c:spPr>
            <a:ln w="25400" cap="rnd">
              <a:solidFill>
                <a:srgbClr val="92D050"/>
              </a:solidFill>
              <a:round/>
            </a:ln>
            <a:effectLst/>
          </c:spPr>
          <c:marker>
            <c:symbol val="circle"/>
            <c:size val="5"/>
            <c:spPr>
              <a:solidFill>
                <a:schemeClr val="accent3"/>
              </a:solidFill>
              <a:ln w="9525">
                <a:solidFill>
                  <a:schemeClr val="accent3"/>
                </a:solidFill>
              </a:ln>
              <a:effectLst/>
            </c:spPr>
          </c:marker>
          <c:xVal>
            <c:numRef>
              <c:f>GRAF!$C$8:$C$21</c:f>
              <c:numCache>
                <c:formatCode>0%</c:formatCode>
                <c:ptCount val="14"/>
                <c:pt idx="0">
                  <c:v>0</c:v>
                </c:pt>
                <c:pt idx="1">
                  <c:v>0.05</c:v>
                </c:pt>
                <c:pt idx="2">
                  <c:v>0.09</c:v>
                </c:pt>
                <c:pt idx="3">
                  <c:v>0.1</c:v>
                </c:pt>
                <c:pt idx="4" formatCode="0.00%">
                  <c:v>0.13260674894892666</c:v>
                </c:pt>
                <c:pt idx="5" formatCode="0.00%">
                  <c:v>0.13898281424501757</c:v>
                </c:pt>
                <c:pt idx="6">
                  <c:v>0.15000000000000002</c:v>
                </c:pt>
                <c:pt idx="7">
                  <c:v>0.2</c:v>
                </c:pt>
                <c:pt idx="8">
                  <c:v>0.25</c:v>
                </c:pt>
                <c:pt idx="9">
                  <c:v>0.3</c:v>
                </c:pt>
                <c:pt idx="10">
                  <c:v>0.35</c:v>
                </c:pt>
                <c:pt idx="11" formatCode="0.00%">
                  <c:v>0.39357286602513319</c:v>
                </c:pt>
                <c:pt idx="12">
                  <c:v>0.39999999999999997</c:v>
                </c:pt>
                <c:pt idx="13">
                  <c:v>0.44999999999999996</c:v>
                </c:pt>
              </c:numCache>
            </c:numRef>
          </c:xVal>
          <c:yVal>
            <c:numRef>
              <c:f>GRAF!$F$8:$F$21</c:f>
              <c:numCache>
                <c:formatCode>#\ ##0.00\ _K_č</c:formatCode>
                <c:ptCount val="14"/>
                <c:pt idx="0">
                  <c:v>67.450000000000017</c:v>
                </c:pt>
                <c:pt idx="1">
                  <c:v>37.278448414963236</c:v>
                </c:pt>
                <c:pt idx="2">
                  <c:v>17.588323682484059</c:v>
                </c:pt>
                <c:pt idx="3">
                  <c:v>13.174900807818602</c:v>
                </c:pt>
                <c:pt idx="4">
                  <c:v>1.6308376871165819E-9</c:v>
                </c:pt>
                <c:pt idx="5">
                  <c:v>-2.3769516570855842</c:v>
                </c:pt>
                <c:pt idx="6">
                  <c:v>-6.343421512806259</c:v>
                </c:pt>
                <c:pt idx="7">
                  <c:v>-22.344431584362141</c:v>
                </c:pt>
                <c:pt idx="8">
                  <c:v>-35.609968000000009</c:v>
                </c:pt>
                <c:pt idx="9">
                  <c:v>-46.721091294476352</c:v>
                </c:pt>
                <c:pt idx="10">
                  <c:v>-56.1156477528219</c:v>
                </c:pt>
                <c:pt idx="11">
                  <c:v>-63.165677521489883</c:v>
                </c:pt>
                <c:pt idx="12">
                  <c:v>-64.12779496638305</c:v>
                </c:pt>
                <c:pt idx="13">
                  <c:v>-71.015577720682543</c:v>
                </c:pt>
              </c:numCache>
            </c:numRef>
          </c:yVal>
          <c:smooth val="1"/>
          <c:extLst>
            <c:ext xmlns:c16="http://schemas.microsoft.com/office/drawing/2014/chart" uri="{C3380CC4-5D6E-409C-BE32-E72D297353CC}">
              <c16:uniqueId val="{00000002-B7D2-49A6-A630-31E0FC581BA4}"/>
            </c:ext>
          </c:extLst>
        </c:ser>
        <c:dLbls>
          <c:showLegendKey val="0"/>
          <c:showVal val="0"/>
          <c:showCatName val="0"/>
          <c:showSerName val="0"/>
          <c:showPercent val="0"/>
          <c:showBubbleSize val="0"/>
        </c:dLbls>
        <c:axId val="443350208"/>
        <c:axId val="443345288"/>
      </c:scatterChart>
      <c:valAx>
        <c:axId val="443350208"/>
        <c:scaling>
          <c:orientation val="minMax"/>
          <c:max val="0.4"/>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solidFill>
            <a:schemeClr val="bg1"/>
          </a:solidFill>
          <a:ln w="222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443345288"/>
        <c:crosses val="autoZero"/>
        <c:crossBetween val="midCat"/>
      </c:valAx>
      <c:valAx>
        <c:axId val="443345288"/>
        <c:scaling>
          <c:orientation val="minMax"/>
          <c:min val="-60"/>
        </c:scaling>
        <c:delete val="0"/>
        <c:axPos val="l"/>
        <c:majorGridlines>
          <c:spPr>
            <a:ln w="9525" cap="flat" cmpd="sng" algn="ctr">
              <a:solidFill>
                <a:schemeClr val="tx1">
                  <a:lumMod val="15000"/>
                  <a:lumOff val="85000"/>
                </a:schemeClr>
              </a:solidFill>
              <a:round/>
            </a:ln>
            <a:effectLst/>
          </c:spPr>
        </c:majorGridlines>
        <c:numFmt formatCode="#\ ##0.00\ _K_č" sourceLinked="1"/>
        <c:majorTickMark val="none"/>
        <c:minorTickMark val="none"/>
        <c:tickLblPos val="nextTo"/>
        <c:spPr>
          <a:noFill/>
          <a:ln w="222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44335020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 Id="rId4" Type="http://schemas.openxmlformats.org/officeDocument/2006/relationships/image" Target="../media/image7.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xdr:from>
      <xdr:col>1</xdr:col>
      <xdr:colOff>114300</xdr:colOff>
      <xdr:row>4</xdr:row>
      <xdr:rowOff>38100</xdr:rowOff>
    </xdr:from>
    <xdr:to>
      <xdr:col>3</xdr:col>
      <xdr:colOff>180975</xdr:colOff>
      <xdr:row>6</xdr:row>
      <xdr:rowOff>28575</xdr:rowOff>
    </xdr:to>
    <xdr:pic>
      <xdr:nvPicPr>
        <xdr:cNvPr id="3" name="Obrázek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23900" y="800100"/>
          <a:ext cx="1285875"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600075</xdr:colOff>
      <xdr:row>15</xdr:row>
      <xdr:rowOff>57150</xdr:rowOff>
    </xdr:from>
    <xdr:to>
      <xdr:col>2</xdr:col>
      <xdr:colOff>542925</xdr:colOff>
      <xdr:row>17</xdr:row>
      <xdr:rowOff>47625</xdr:rowOff>
    </xdr:to>
    <xdr:pic>
      <xdr:nvPicPr>
        <xdr:cNvPr id="4" name="Obrázek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00075" y="3295650"/>
          <a:ext cx="116205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0</xdr:colOff>
      <xdr:row>17</xdr:row>
      <xdr:rowOff>0</xdr:rowOff>
    </xdr:from>
    <xdr:to>
      <xdr:col>19</xdr:col>
      <xdr:colOff>552450</xdr:colOff>
      <xdr:row>18</xdr:row>
      <xdr:rowOff>180975</xdr:rowOff>
    </xdr:to>
    <xdr:pic>
      <xdr:nvPicPr>
        <xdr:cNvPr id="5" name="Obrázek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972800" y="3619500"/>
          <a:ext cx="116205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18</xdr:col>
      <xdr:colOff>0</xdr:colOff>
      <xdr:row>22</xdr:row>
      <xdr:rowOff>0</xdr:rowOff>
    </xdr:from>
    <xdr:to>
      <xdr:col>20</xdr:col>
      <xdr:colOff>276225</xdr:colOff>
      <xdr:row>23</xdr:row>
      <xdr:rowOff>180975</xdr:rowOff>
    </xdr:to>
    <xdr:pic>
      <xdr:nvPicPr>
        <xdr:cNvPr id="6" name="Obrázek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4">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0972800" y="4572000"/>
          <a:ext cx="1495425"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18</xdr:col>
          <xdr:colOff>0</xdr:colOff>
          <xdr:row>25</xdr:row>
          <xdr:rowOff>0</xdr:rowOff>
        </xdr:from>
        <xdr:to>
          <xdr:col>19</xdr:col>
          <xdr:colOff>495300</xdr:colOff>
          <xdr:row>27</xdr:row>
          <xdr:rowOff>19050</xdr:rowOff>
        </xdr:to>
        <xdr:sp macro="" textlink="">
          <xdr:nvSpPr>
            <xdr:cNvPr id="4102" name="Object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29</xdr:row>
          <xdr:rowOff>0</xdr:rowOff>
        </xdr:from>
        <xdr:to>
          <xdr:col>19</xdr:col>
          <xdr:colOff>390525</xdr:colOff>
          <xdr:row>31</xdr:row>
          <xdr:rowOff>66675</xdr:rowOff>
        </xdr:to>
        <xdr:sp macro="" textlink="">
          <xdr:nvSpPr>
            <xdr:cNvPr id="4103" name="Object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0</xdr:colOff>
          <xdr:row>34</xdr:row>
          <xdr:rowOff>0</xdr:rowOff>
        </xdr:from>
        <xdr:to>
          <xdr:col>19</xdr:col>
          <xdr:colOff>180975</xdr:colOff>
          <xdr:row>36</xdr:row>
          <xdr:rowOff>0</xdr:rowOff>
        </xdr:to>
        <xdr:sp macro="" textlink="">
          <xdr:nvSpPr>
            <xdr:cNvPr id="4104" name="Object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123825</xdr:colOff>
          <xdr:row>15</xdr:row>
          <xdr:rowOff>57150</xdr:rowOff>
        </xdr:from>
        <xdr:to>
          <xdr:col>5</xdr:col>
          <xdr:colOff>361950</xdr:colOff>
          <xdr:row>17</xdr:row>
          <xdr:rowOff>123825</xdr:rowOff>
        </xdr:to>
        <xdr:sp macro="" textlink="">
          <xdr:nvSpPr>
            <xdr:cNvPr id="4107" name="Object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9</xdr:col>
      <xdr:colOff>0</xdr:colOff>
      <xdr:row>16</xdr:row>
      <xdr:rowOff>0</xdr:rowOff>
    </xdr:from>
    <xdr:to>
      <xdr:col>10</xdr:col>
      <xdr:colOff>552450</xdr:colOff>
      <xdr:row>17</xdr:row>
      <xdr:rowOff>180975</xdr:rowOff>
    </xdr:to>
    <xdr:pic>
      <xdr:nvPicPr>
        <xdr:cNvPr id="13" name="Obrázek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6162675" y="3429000"/>
          <a:ext cx="116205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8</xdr:col>
      <xdr:colOff>133351</xdr:colOff>
      <xdr:row>4</xdr:row>
      <xdr:rowOff>57150</xdr:rowOff>
    </xdr:from>
    <xdr:to>
      <xdr:col>25</xdr:col>
      <xdr:colOff>238125</xdr:colOff>
      <xdr:row>31</xdr:row>
      <xdr:rowOff>47625</xdr:rowOff>
    </xdr:to>
    <xdr:graphicFrame macro="">
      <xdr:nvGraphicFramePr>
        <xdr:cNvPr id="2" name="Graf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lanka\Documents\Vyuka%20skola\ZPD\hotove\Kriteria%20ekonomicke%20efektivnost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1"/>
      <sheetName val="GRAF"/>
      <sheetName val="List3"/>
    </sheetNames>
    <sheetDataSet>
      <sheetData sheetId="0">
        <row r="50">
          <cell r="G50">
            <v>0.39357286602513319</v>
          </cell>
        </row>
        <row r="51">
          <cell r="G51">
            <v>0.13898281424501757</v>
          </cell>
        </row>
        <row r="52">
          <cell r="G52">
            <v>0.13260674894892666</v>
          </cell>
        </row>
      </sheetData>
      <sheetData sheetId="1"/>
      <sheetData sheetId="2"/>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w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w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3.wmf"/></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F61E5-C49F-4246-8A3A-5B6467BA6C42}">
  <dimension ref="A2:S59"/>
  <sheetViews>
    <sheetView tabSelected="1" topLeftCell="A37" workbookViewId="0">
      <selection activeCell="G66" sqref="G66"/>
    </sheetView>
  </sheetViews>
  <sheetFormatPr defaultRowHeight="15" x14ac:dyDescent="0.25"/>
  <cols>
    <col min="3" max="3" width="13.7109375" customWidth="1"/>
    <col min="5" max="5" width="11.42578125" bestFit="1" customWidth="1"/>
    <col min="7" max="7" width="12.42578125" bestFit="1" customWidth="1"/>
    <col min="9" max="9" width="12.7109375" customWidth="1"/>
    <col min="10" max="10" width="14" bestFit="1" customWidth="1"/>
    <col min="12" max="12" width="12.42578125" bestFit="1" customWidth="1"/>
    <col min="14" max="14" width="11.42578125" bestFit="1" customWidth="1"/>
  </cols>
  <sheetData>
    <row r="2" spans="1:19" x14ac:dyDescent="0.25">
      <c r="B2" s="52" t="s">
        <v>20</v>
      </c>
      <c r="C2" s="53"/>
      <c r="D2" s="53"/>
      <c r="E2" s="53"/>
      <c r="F2" s="53"/>
      <c r="G2" s="53"/>
      <c r="H2" s="53"/>
      <c r="I2" s="53"/>
      <c r="J2" s="53"/>
      <c r="K2" s="53"/>
      <c r="L2" s="53"/>
      <c r="M2" s="53"/>
      <c r="N2" s="53"/>
      <c r="O2" s="53"/>
    </row>
    <row r="3" spans="1:19" x14ac:dyDescent="0.25">
      <c r="B3" s="53"/>
      <c r="C3" s="53"/>
      <c r="D3" s="53"/>
      <c r="E3" s="53"/>
      <c r="F3" s="53"/>
      <c r="G3" s="53"/>
      <c r="H3" s="53"/>
      <c r="I3" s="53"/>
      <c r="J3" s="53"/>
      <c r="K3" s="53"/>
      <c r="L3" s="53"/>
      <c r="M3" s="53"/>
      <c r="N3" s="53"/>
      <c r="O3" s="53"/>
    </row>
    <row r="6" spans="1:19" x14ac:dyDescent="0.25">
      <c r="G6" t="s">
        <v>28</v>
      </c>
      <c r="J6" s="27">
        <f>150000*(1+0.02*180/360)</f>
        <v>151500</v>
      </c>
    </row>
    <row r="9" spans="1:19" x14ac:dyDescent="0.25">
      <c r="B9" s="54" t="s">
        <v>21</v>
      </c>
      <c r="C9" s="55"/>
      <c r="D9" s="55"/>
      <c r="E9" s="55"/>
      <c r="F9" s="55"/>
      <c r="G9" s="55"/>
      <c r="H9" s="55"/>
      <c r="I9" s="55"/>
      <c r="J9" s="55"/>
      <c r="K9" s="55"/>
      <c r="L9" s="55"/>
      <c r="M9" s="55"/>
      <c r="N9" s="55"/>
      <c r="O9" s="56"/>
      <c r="P9" s="56"/>
      <c r="Q9" s="56"/>
    </row>
    <row r="10" spans="1:19" x14ac:dyDescent="0.25">
      <c r="B10" s="55"/>
      <c r="C10" s="55"/>
      <c r="D10" s="55"/>
      <c r="E10" s="55"/>
      <c r="F10" s="55"/>
      <c r="G10" s="55"/>
      <c r="H10" s="55"/>
      <c r="I10" s="55"/>
      <c r="J10" s="55"/>
      <c r="K10" s="55"/>
      <c r="L10" s="55"/>
      <c r="M10" s="55"/>
      <c r="N10" s="55"/>
      <c r="O10" s="56"/>
      <c r="P10" s="56"/>
      <c r="Q10" s="56"/>
      <c r="S10" t="s">
        <v>24</v>
      </c>
    </row>
    <row r="11" spans="1:19" x14ac:dyDescent="0.25">
      <c r="B11" s="56"/>
      <c r="C11" s="56"/>
      <c r="D11" s="56"/>
      <c r="E11" s="56"/>
      <c r="F11" s="56"/>
      <c r="G11" s="56"/>
      <c r="H11" s="56"/>
      <c r="I11" s="56"/>
      <c r="J11" s="56"/>
      <c r="K11" s="56"/>
      <c r="L11" s="56"/>
      <c r="M11" s="56"/>
      <c r="N11" s="56"/>
      <c r="O11" s="56"/>
      <c r="P11" s="56"/>
      <c r="Q11" s="56"/>
    </row>
    <row r="12" spans="1:19" x14ac:dyDescent="0.25">
      <c r="B12" s="56"/>
      <c r="C12" s="56"/>
      <c r="D12" s="56"/>
      <c r="E12" s="56"/>
      <c r="F12" s="56"/>
      <c r="G12" s="56"/>
      <c r="H12" s="56"/>
      <c r="I12" s="56"/>
      <c r="J12" s="56"/>
      <c r="K12" s="56"/>
      <c r="L12" s="56"/>
      <c r="M12" s="56"/>
      <c r="N12" s="56"/>
      <c r="O12" s="56"/>
      <c r="P12" s="56"/>
      <c r="Q12" s="56"/>
    </row>
    <row r="13" spans="1:19" x14ac:dyDescent="0.25">
      <c r="A13" t="s">
        <v>30</v>
      </c>
      <c r="B13" t="s">
        <v>29</v>
      </c>
      <c r="E13" t="s">
        <v>32</v>
      </c>
      <c r="F13" t="s">
        <v>33</v>
      </c>
      <c r="J13" t="s">
        <v>38</v>
      </c>
      <c r="K13" t="s">
        <v>39</v>
      </c>
    </row>
    <row r="14" spans="1:19" x14ac:dyDescent="0.25">
      <c r="B14" t="s">
        <v>26</v>
      </c>
      <c r="E14" t="s">
        <v>26</v>
      </c>
      <c r="G14" s="41">
        <f>0.025/12</f>
        <v>2.0833333333333333E-3</v>
      </c>
      <c r="H14" t="s">
        <v>37</v>
      </c>
      <c r="K14" s="42">
        <f>0.025/4</f>
        <v>6.2500000000000003E-3</v>
      </c>
      <c r="L14" t="s">
        <v>40</v>
      </c>
    </row>
    <row r="15" spans="1:19" x14ac:dyDescent="0.25">
      <c r="B15" t="s">
        <v>31</v>
      </c>
      <c r="E15" t="s">
        <v>34</v>
      </c>
      <c r="J15" t="s">
        <v>26</v>
      </c>
      <c r="N15" t="s">
        <v>42</v>
      </c>
    </row>
    <row r="16" spans="1:19" x14ac:dyDescent="0.25">
      <c r="J16" t="s">
        <v>31</v>
      </c>
      <c r="N16" t="s">
        <v>34</v>
      </c>
    </row>
    <row r="17" spans="2:19" x14ac:dyDescent="0.25">
      <c r="G17" t="s">
        <v>35</v>
      </c>
    </row>
    <row r="18" spans="2:19" x14ac:dyDescent="0.25">
      <c r="N18" s="39">
        <f>FV(K14,4,-1,,0)</f>
        <v>4.0376564941406556</v>
      </c>
      <c r="O18" t="s">
        <v>42</v>
      </c>
    </row>
    <row r="19" spans="2:19" x14ac:dyDescent="0.25">
      <c r="C19" s="27">
        <f>1500*(12+(12+1)/2*0.025)</f>
        <v>18243.75</v>
      </c>
      <c r="E19" s="38">
        <f>FV(G14,12,-1,,1)</f>
        <v>12.163747808962635</v>
      </c>
      <c r="F19" t="s">
        <v>36</v>
      </c>
      <c r="G19" s="27">
        <f>1500*E19</f>
        <v>18245.62171344395</v>
      </c>
    </row>
    <row r="20" spans="2:19" x14ac:dyDescent="0.25">
      <c r="J20" s="18">
        <f>1500*(3+(1+3)/2*K14)</f>
        <v>4518.75</v>
      </c>
      <c r="K20" t="s">
        <v>41</v>
      </c>
      <c r="N20" s="27">
        <f>N18*J20</f>
        <v>18245.160282898087</v>
      </c>
    </row>
    <row r="21" spans="2:19" x14ac:dyDescent="0.25">
      <c r="S21" t="s">
        <v>25</v>
      </c>
    </row>
    <row r="23" spans="2:19" x14ac:dyDescent="0.25">
      <c r="B23" s="57" t="s">
        <v>22</v>
      </c>
      <c r="C23" s="57"/>
      <c r="D23" s="57"/>
      <c r="E23" s="57"/>
      <c r="F23" s="57"/>
      <c r="G23" s="57"/>
      <c r="H23" s="57"/>
      <c r="I23" s="57"/>
      <c r="J23" s="57"/>
      <c r="K23" s="57"/>
      <c r="L23" s="57"/>
      <c r="M23" s="57"/>
      <c r="N23" s="57"/>
    </row>
    <row r="24" spans="2:19" x14ac:dyDescent="0.25">
      <c r="B24" s="57"/>
      <c r="C24" s="57"/>
      <c r="D24" s="57"/>
      <c r="E24" s="57"/>
      <c r="F24" s="57"/>
      <c r="G24" s="57"/>
      <c r="H24" s="57"/>
      <c r="I24" s="57"/>
      <c r="J24" s="57"/>
      <c r="K24" s="57"/>
      <c r="L24" s="57"/>
      <c r="M24" s="57"/>
      <c r="N24" s="57"/>
    </row>
    <row r="25" spans="2:19" x14ac:dyDescent="0.25">
      <c r="B25" s="57"/>
      <c r="C25" s="57"/>
      <c r="D25" s="57"/>
      <c r="E25" s="57"/>
      <c r="F25" s="57"/>
      <c r="G25" s="57"/>
      <c r="H25" s="57"/>
      <c r="I25" s="57"/>
      <c r="J25" s="57"/>
      <c r="K25" s="57"/>
      <c r="L25" s="57"/>
      <c r="M25" s="57"/>
      <c r="N25" s="57"/>
    </row>
    <row r="26" spans="2:19" x14ac:dyDescent="0.25">
      <c r="B26" s="57"/>
      <c r="C26" s="57"/>
      <c r="D26" s="57"/>
      <c r="E26" s="57"/>
      <c r="F26" s="57"/>
      <c r="G26" s="57"/>
      <c r="H26" s="57"/>
      <c r="I26" s="57"/>
      <c r="J26" s="57"/>
      <c r="K26" s="57"/>
      <c r="L26" s="57"/>
      <c r="M26" s="57"/>
      <c r="N26" s="57"/>
    </row>
    <row r="28" spans="2:19" x14ac:dyDescent="0.25">
      <c r="C28" t="s">
        <v>43</v>
      </c>
    </row>
    <row r="29" spans="2:19" x14ac:dyDescent="0.25">
      <c r="G29" t="s">
        <v>60</v>
      </c>
      <c r="J29" s="18">
        <f>1000*(12+(12-1)/2*E30)</f>
        <v>12275</v>
      </c>
      <c r="K29" t="s">
        <v>48</v>
      </c>
      <c r="S29" t="s">
        <v>26</v>
      </c>
    </row>
    <row r="30" spans="2:19" x14ac:dyDescent="0.25">
      <c r="B30" t="s">
        <v>45</v>
      </c>
      <c r="C30" t="s">
        <v>44</v>
      </c>
      <c r="D30" s="40">
        <f>(1+0.03)*(1+0.02)-1</f>
        <v>5.0599999999999978E-2</v>
      </c>
      <c r="E30" s="40">
        <v>0.05</v>
      </c>
      <c r="G30" t="s">
        <v>61</v>
      </c>
      <c r="J30" s="59">
        <f>FV(E30,40,-1,,0)</f>
        <v>120.79977424249297</v>
      </c>
      <c r="L30" s="18"/>
    </row>
    <row r="31" spans="2:19" x14ac:dyDescent="0.25">
      <c r="B31" t="s">
        <v>46</v>
      </c>
      <c r="C31" t="s">
        <v>44</v>
      </c>
      <c r="D31" s="40">
        <f>(1+0.02)*(1+0.02)-1</f>
        <v>4.0399999999999991E-2</v>
      </c>
      <c r="E31" s="40">
        <v>0.04</v>
      </c>
      <c r="J31" s="58">
        <f>J30*J29</f>
        <v>1482817.2288266013</v>
      </c>
      <c r="K31" t="s">
        <v>47</v>
      </c>
    </row>
    <row r="33" spans="2:19" x14ac:dyDescent="0.25">
      <c r="H33" t="s">
        <v>62</v>
      </c>
      <c r="J33" s="39">
        <f>PMT(E31,30,-1,,0)</f>
        <v>5.7830099133661335E-2</v>
      </c>
      <c r="K33" t="s">
        <v>14</v>
      </c>
      <c r="S33" t="s">
        <v>27</v>
      </c>
    </row>
    <row r="34" spans="2:19" x14ac:dyDescent="0.25">
      <c r="J34" s="58">
        <f>J33*J31</f>
        <v>85751.467340143339</v>
      </c>
      <c r="K34" t="s">
        <v>49</v>
      </c>
    </row>
    <row r="35" spans="2:19" x14ac:dyDescent="0.25">
      <c r="J35" s="27">
        <f>J34/(12+13/2*E31)</f>
        <v>6994.4100603705829</v>
      </c>
      <c r="K35" t="s">
        <v>50</v>
      </c>
    </row>
    <row r="38" spans="2:19" ht="15" customHeight="1" x14ac:dyDescent="0.25">
      <c r="B38" s="60" t="s">
        <v>59</v>
      </c>
      <c r="C38" s="60"/>
      <c r="D38" s="60"/>
      <c r="E38" s="60"/>
      <c r="F38" s="60"/>
      <c r="G38" s="60"/>
      <c r="H38" s="60"/>
      <c r="I38" s="60"/>
      <c r="J38" s="60"/>
      <c r="K38" s="60"/>
      <c r="L38" s="60"/>
      <c r="M38" s="60"/>
      <c r="N38" s="60"/>
    </row>
    <row r="39" spans="2:19" ht="15" customHeight="1" x14ac:dyDescent="0.25">
      <c r="B39" s="60"/>
      <c r="C39" s="60"/>
      <c r="D39" s="60"/>
      <c r="E39" s="60"/>
      <c r="F39" s="60"/>
      <c r="G39" s="60"/>
      <c r="H39" s="60"/>
      <c r="I39" s="60"/>
      <c r="J39" s="60"/>
      <c r="K39" s="60"/>
      <c r="L39" s="60"/>
      <c r="M39" s="60"/>
      <c r="N39" s="60"/>
    </row>
    <row r="40" spans="2:19" ht="15" customHeight="1" x14ac:dyDescent="0.25">
      <c r="B40" s="60"/>
      <c r="C40" s="60"/>
      <c r="D40" s="60"/>
      <c r="E40" s="60"/>
      <c r="F40" s="60"/>
      <c r="G40" s="60"/>
      <c r="H40" s="60"/>
      <c r="I40" s="60"/>
      <c r="J40" s="60"/>
      <c r="K40" s="60"/>
      <c r="L40" s="60"/>
      <c r="M40" s="60"/>
      <c r="N40" s="60"/>
    </row>
    <row r="41" spans="2:19" ht="15" customHeight="1" x14ac:dyDescent="0.25">
      <c r="B41" s="60"/>
      <c r="C41" s="60"/>
      <c r="D41" s="60"/>
      <c r="E41" s="60"/>
      <c r="F41" s="60"/>
      <c r="G41" s="60"/>
      <c r="H41" s="60"/>
      <c r="I41" s="60"/>
      <c r="J41" s="60"/>
      <c r="K41" s="60"/>
      <c r="L41" s="60"/>
      <c r="M41" s="60"/>
      <c r="N41" s="60"/>
    </row>
    <row r="43" spans="2:19" x14ac:dyDescent="0.25">
      <c r="B43" t="s">
        <v>63</v>
      </c>
      <c r="C43" s="43">
        <v>55000</v>
      </c>
      <c r="I43" t="s">
        <v>66</v>
      </c>
      <c r="J43" s="41">
        <f>EFFECT(C44,4)</f>
        <v>4.8870932735999961E-2</v>
      </c>
    </row>
    <row r="44" spans="2:19" x14ac:dyDescent="0.25">
      <c r="C44" s="41">
        <v>4.8000000000000001E-2</v>
      </c>
      <c r="D44" t="s">
        <v>64</v>
      </c>
      <c r="I44" t="s">
        <v>67</v>
      </c>
      <c r="J44" s="59">
        <f>PV(J43,C45,-1,,0)</f>
        <v>7.7642494703293004</v>
      </c>
    </row>
    <row r="45" spans="2:19" x14ac:dyDescent="0.25">
      <c r="C45">
        <v>10</v>
      </c>
      <c r="D45" t="s">
        <v>65</v>
      </c>
      <c r="I45" t="s">
        <v>68</v>
      </c>
      <c r="J45" s="27">
        <f>J44*C43</f>
        <v>427033.72086811153</v>
      </c>
    </row>
    <row r="48" spans="2:19" x14ac:dyDescent="0.25">
      <c r="B48" s="60" t="s">
        <v>69</v>
      </c>
      <c r="C48" s="60"/>
      <c r="D48" s="60"/>
      <c r="E48" s="60"/>
      <c r="F48" s="60"/>
      <c r="G48" s="60"/>
      <c r="H48" s="60"/>
      <c r="I48" s="60"/>
      <c r="J48" s="60"/>
      <c r="K48" s="60"/>
      <c r="L48" s="60"/>
      <c r="M48" s="60"/>
      <c r="N48" s="60"/>
      <c r="O48" s="60"/>
      <c r="P48" s="60"/>
    </row>
    <row r="49" spans="2:16" x14ac:dyDescent="0.25">
      <c r="B49" s="60"/>
      <c r="C49" s="60"/>
      <c r="D49" s="60"/>
      <c r="E49" s="60"/>
      <c r="F49" s="60"/>
      <c r="G49" s="60"/>
      <c r="H49" s="60"/>
      <c r="I49" s="60"/>
      <c r="J49" s="60"/>
      <c r="K49" s="60"/>
      <c r="L49" s="60"/>
      <c r="M49" s="60"/>
      <c r="N49" s="60"/>
      <c r="O49" s="60"/>
      <c r="P49" s="60"/>
    </row>
    <row r="50" spans="2:16" x14ac:dyDescent="0.25">
      <c r="B50" s="60"/>
      <c r="C50" s="60"/>
      <c r="D50" s="60"/>
      <c r="E50" s="60"/>
      <c r="F50" s="60"/>
      <c r="G50" s="60"/>
      <c r="H50" s="60"/>
      <c r="I50" s="60"/>
      <c r="J50" s="60"/>
      <c r="K50" s="60"/>
      <c r="L50" s="60"/>
      <c r="M50" s="60"/>
      <c r="N50" s="60"/>
      <c r="O50" s="60"/>
      <c r="P50" s="60"/>
    </row>
    <row r="51" spans="2:16" x14ac:dyDescent="0.25">
      <c r="B51" s="60"/>
      <c r="C51" s="60"/>
      <c r="D51" s="60"/>
      <c r="E51" s="60"/>
      <c r="F51" s="60"/>
      <c r="G51" s="60"/>
      <c r="H51" s="60"/>
      <c r="I51" s="60"/>
      <c r="J51" s="60"/>
      <c r="K51" s="60"/>
      <c r="L51" s="60"/>
      <c r="M51" s="60"/>
      <c r="N51" s="60"/>
      <c r="O51" s="60"/>
      <c r="P51" s="60"/>
    </row>
    <row r="52" spans="2:16" x14ac:dyDescent="0.25">
      <c r="B52" s="60"/>
      <c r="C52" s="60"/>
      <c r="D52" s="60"/>
      <c r="E52" s="60"/>
      <c r="F52" s="60"/>
      <c r="G52" s="60"/>
      <c r="H52" s="60"/>
      <c r="I52" s="60"/>
      <c r="J52" s="60"/>
      <c r="K52" s="60"/>
      <c r="L52" s="60"/>
      <c r="M52" s="60"/>
      <c r="N52" s="60"/>
      <c r="O52" s="60"/>
      <c r="P52" s="60"/>
    </row>
    <row r="53" spans="2:16" x14ac:dyDescent="0.25">
      <c r="B53" s="60"/>
      <c r="C53" s="60"/>
      <c r="D53" s="60"/>
      <c r="E53" s="60"/>
      <c r="F53" s="60"/>
      <c r="G53" s="60"/>
      <c r="H53" s="60"/>
      <c r="I53" s="60"/>
      <c r="J53" s="60"/>
      <c r="K53" s="60"/>
      <c r="L53" s="60"/>
      <c r="M53" s="60"/>
      <c r="N53" s="60"/>
      <c r="O53" s="60"/>
      <c r="P53" s="60"/>
    </row>
    <row r="55" spans="2:16" x14ac:dyDescent="0.25">
      <c r="B55" s="41">
        <v>0.08</v>
      </c>
    </row>
    <row r="56" spans="2:16" x14ac:dyDescent="0.25">
      <c r="B56" t="s">
        <v>30</v>
      </c>
      <c r="C56" s="43"/>
      <c r="D56" s="43">
        <v>95000</v>
      </c>
    </row>
    <row r="57" spans="2:16" x14ac:dyDescent="0.25">
      <c r="B57" t="s">
        <v>32</v>
      </c>
      <c r="C57" s="43"/>
      <c r="D57" s="43">
        <f>165000/(1+B55)^5</f>
        <v>112296.22751056925</v>
      </c>
    </row>
    <row r="58" spans="2:16" x14ac:dyDescent="0.25">
      <c r="B58" t="s">
        <v>38</v>
      </c>
      <c r="C58" s="43">
        <f>FV(0.105,10,-15000,,1)</f>
        <v>270579.905071727</v>
      </c>
      <c r="D58" s="61">
        <f>C58/(1+B55)^10</f>
        <v>125330.85003579597</v>
      </c>
    </row>
    <row r="59" spans="2:16" x14ac:dyDescent="0.25">
      <c r="B59" t="s">
        <v>70</v>
      </c>
      <c r="C59" s="43"/>
      <c r="D59" s="43">
        <f>9900/B55</f>
        <v>123750</v>
      </c>
    </row>
  </sheetData>
  <mergeCells count="5">
    <mergeCell ref="B48:P53"/>
    <mergeCell ref="B2:O3"/>
    <mergeCell ref="B9:Q12"/>
    <mergeCell ref="B23:N26"/>
    <mergeCell ref="B38:N41"/>
  </mergeCells>
  <pageMargins left="0.7" right="0.7" top="0.78740157499999996" bottom="0.78740157499999996" header="0.3" footer="0.3"/>
  <pageSetup paperSize="9" orientation="portrait" r:id="rId1"/>
  <drawing r:id="rId2"/>
  <legacyDrawing r:id="rId3"/>
  <oleObjects>
    <mc:AlternateContent xmlns:mc="http://schemas.openxmlformats.org/markup-compatibility/2006">
      <mc:Choice Requires="x14">
        <oleObject progId="Equation.3" shapeId="4102" r:id="rId4">
          <objectPr defaultSize="0" autoPict="0" r:id="rId5">
            <anchor moveWithCells="1" sizeWithCells="1">
              <from>
                <xdr:col>18</xdr:col>
                <xdr:colOff>0</xdr:colOff>
                <xdr:row>25</xdr:row>
                <xdr:rowOff>0</xdr:rowOff>
              </from>
              <to>
                <xdr:col>19</xdr:col>
                <xdr:colOff>495300</xdr:colOff>
                <xdr:row>27</xdr:row>
                <xdr:rowOff>19050</xdr:rowOff>
              </to>
            </anchor>
          </objectPr>
        </oleObject>
      </mc:Choice>
      <mc:Fallback>
        <oleObject progId="Equation.3" shapeId="4102" r:id="rId4"/>
      </mc:Fallback>
    </mc:AlternateContent>
    <mc:AlternateContent xmlns:mc="http://schemas.openxmlformats.org/markup-compatibility/2006">
      <mc:Choice Requires="x14">
        <oleObject progId="Equation.3" shapeId="4103" r:id="rId6">
          <objectPr defaultSize="0" autoPict="0" r:id="rId7">
            <anchor moveWithCells="1" sizeWithCells="1">
              <from>
                <xdr:col>18</xdr:col>
                <xdr:colOff>0</xdr:colOff>
                <xdr:row>29</xdr:row>
                <xdr:rowOff>0</xdr:rowOff>
              </from>
              <to>
                <xdr:col>19</xdr:col>
                <xdr:colOff>390525</xdr:colOff>
                <xdr:row>31</xdr:row>
                <xdr:rowOff>66675</xdr:rowOff>
              </to>
            </anchor>
          </objectPr>
        </oleObject>
      </mc:Choice>
      <mc:Fallback>
        <oleObject progId="Equation.3" shapeId="4103" r:id="rId6"/>
      </mc:Fallback>
    </mc:AlternateContent>
    <mc:AlternateContent xmlns:mc="http://schemas.openxmlformats.org/markup-compatibility/2006">
      <mc:Choice Requires="x14">
        <oleObject progId="Equation.3" shapeId="4104" r:id="rId8">
          <objectPr defaultSize="0" autoPict="0" r:id="rId9">
            <anchor moveWithCells="1" sizeWithCells="1">
              <from>
                <xdr:col>18</xdr:col>
                <xdr:colOff>0</xdr:colOff>
                <xdr:row>34</xdr:row>
                <xdr:rowOff>0</xdr:rowOff>
              </from>
              <to>
                <xdr:col>19</xdr:col>
                <xdr:colOff>180975</xdr:colOff>
                <xdr:row>36</xdr:row>
                <xdr:rowOff>0</xdr:rowOff>
              </to>
            </anchor>
          </objectPr>
        </oleObject>
      </mc:Choice>
      <mc:Fallback>
        <oleObject progId="Equation.3" shapeId="4104" r:id="rId8"/>
      </mc:Fallback>
    </mc:AlternateContent>
    <mc:AlternateContent xmlns:mc="http://schemas.openxmlformats.org/markup-compatibility/2006">
      <mc:Choice Requires="x14">
        <oleObject progId="Equation.3" shapeId="4107" r:id="rId10">
          <objectPr defaultSize="0" autoPict="0" r:id="rId7">
            <anchor moveWithCells="1" sizeWithCells="1">
              <from>
                <xdr:col>4</xdr:col>
                <xdr:colOff>123825</xdr:colOff>
                <xdr:row>15</xdr:row>
                <xdr:rowOff>57150</xdr:rowOff>
              </from>
              <to>
                <xdr:col>5</xdr:col>
                <xdr:colOff>361950</xdr:colOff>
                <xdr:row>17</xdr:row>
                <xdr:rowOff>123825</xdr:rowOff>
              </to>
            </anchor>
          </objectPr>
        </oleObject>
      </mc:Choice>
      <mc:Fallback>
        <oleObject progId="Equation.3" shapeId="4107" r:id="rId10"/>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F7F972-A75B-4968-AD00-F15A02555D80}">
  <dimension ref="B2:M32"/>
  <sheetViews>
    <sheetView topLeftCell="A10" workbookViewId="0">
      <selection activeCell="M31" sqref="M31"/>
    </sheetView>
  </sheetViews>
  <sheetFormatPr defaultRowHeight="15" x14ac:dyDescent="0.25"/>
  <cols>
    <col min="2" max="2" width="19.85546875" customWidth="1"/>
    <col min="3" max="3" width="19.7109375" customWidth="1"/>
    <col min="4" max="4" width="15.5703125" customWidth="1"/>
    <col min="5" max="5" width="12.42578125" customWidth="1"/>
    <col min="6" max="6" width="13.140625" customWidth="1"/>
    <col min="7" max="7" width="12.5703125" customWidth="1"/>
  </cols>
  <sheetData>
    <row r="2" spans="2:11" ht="15.75" thickBot="1" x14ac:dyDescent="0.3"/>
    <row r="3" spans="2:11" ht="24" x14ac:dyDescent="0.25">
      <c r="B3" s="45" t="s">
        <v>3</v>
      </c>
      <c r="C3" s="46" t="s">
        <v>52</v>
      </c>
      <c r="D3" s="47" t="s">
        <v>53</v>
      </c>
      <c r="E3" s="47" t="s">
        <v>54</v>
      </c>
      <c r="F3" s="47" t="s">
        <v>55</v>
      </c>
      <c r="G3" s="48" t="s">
        <v>56</v>
      </c>
      <c r="H3" s="26"/>
      <c r="I3" s="8" t="s">
        <v>7</v>
      </c>
    </row>
    <row r="4" spans="2:11" ht="15.75" thickBot="1" x14ac:dyDescent="0.3">
      <c r="B4" s="10" t="s">
        <v>0</v>
      </c>
      <c r="C4" s="23">
        <v>-390</v>
      </c>
      <c r="D4" s="24">
        <v>100</v>
      </c>
      <c r="E4" s="24">
        <v>200</v>
      </c>
      <c r="F4" s="24">
        <v>300</v>
      </c>
      <c r="G4" s="25">
        <v>200</v>
      </c>
      <c r="I4" s="27">
        <f>NPV($C$8,D4:G4)+C4</f>
        <v>243.41920415072548</v>
      </c>
    </row>
    <row r="5" spans="2:11" ht="15.75" thickBot="1" x14ac:dyDescent="0.3">
      <c r="B5" s="10" t="s">
        <v>1</v>
      </c>
      <c r="C5" s="23">
        <v>-390</v>
      </c>
      <c r="D5" s="24">
        <v>100</v>
      </c>
      <c r="E5" s="24">
        <v>300</v>
      </c>
      <c r="F5" s="24">
        <v>200</v>
      </c>
      <c r="G5" s="25">
        <v>150</v>
      </c>
      <c r="I5" s="18">
        <f>NPV($C$8,D5:G5)+C5</f>
        <v>214.94759491801528</v>
      </c>
    </row>
    <row r="8" spans="2:11" x14ac:dyDescent="0.25">
      <c r="B8" s="36" t="s">
        <v>23</v>
      </c>
      <c r="C8" s="37">
        <v>0.09</v>
      </c>
    </row>
    <row r="12" spans="2:11" x14ac:dyDescent="0.25">
      <c r="B12" s="50" t="s">
        <v>13</v>
      </c>
      <c r="C12" s="50"/>
      <c r="D12" s="50"/>
      <c r="E12" s="50"/>
      <c r="F12" s="50"/>
      <c r="G12" s="50"/>
      <c r="H12" s="50"/>
      <c r="I12" s="50"/>
      <c r="J12" s="50"/>
      <c r="K12" s="50"/>
    </row>
    <row r="13" spans="2:11" x14ac:dyDescent="0.25">
      <c r="B13" s="50"/>
      <c r="C13" s="50"/>
      <c r="D13" s="50"/>
      <c r="E13" s="50"/>
      <c r="F13" s="50"/>
      <c r="G13" s="50"/>
      <c r="H13" s="50"/>
      <c r="I13" s="50"/>
      <c r="J13" s="50"/>
      <c r="K13" s="50"/>
    </row>
    <row r="14" spans="2:11" x14ac:dyDescent="0.25">
      <c r="B14" s="50"/>
      <c r="C14" s="50"/>
      <c r="D14" s="50"/>
      <c r="E14" s="50"/>
      <c r="F14" s="50"/>
      <c r="G14" s="50"/>
      <c r="H14" s="50"/>
      <c r="I14" s="50"/>
      <c r="J14" s="50"/>
      <c r="K14" s="50"/>
    </row>
    <row r="15" spans="2:11" ht="15.75" thickBot="1" x14ac:dyDescent="0.3">
      <c r="H15">
        <v>0.12</v>
      </c>
    </row>
    <row r="16" spans="2:11" ht="15.75" thickBot="1" x14ac:dyDescent="0.3">
      <c r="B16" s="7"/>
      <c r="C16" s="19"/>
      <c r="D16" s="12"/>
      <c r="E16" s="13"/>
      <c r="F16" s="11"/>
      <c r="G16" s="13"/>
    </row>
    <row r="17" spans="2:13" ht="18" x14ac:dyDescent="0.25">
      <c r="B17" s="9" t="s">
        <v>3</v>
      </c>
      <c r="C17" s="20" t="s">
        <v>4</v>
      </c>
      <c r="D17" s="21" t="s">
        <v>5</v>
      </c>
      <c r="E17" s="21" t="s">
        <v>6</v>
      </c>
      <c r="F17" s="21" t="s">
        <v>9</v>
      </c>
      <c r="G17" s="22" t="s">
        <v>10</v>
      </c>
      <c r="I17" s="8" t="s">
        <v>7</v>
      </c>
      <c r="K17" s="8" t="s">
        <v>14</v>
      </c>
      <c r="M17" t="s">
        <v>15</v>
      </c>
    </row>
    <row r="18" spans="2:13" ht="15.75" thickBot="1" x14ac:dyDescent="0.3">
      <c r="B18" s="10" t="s">
        <v>0</v>
      </c>
      <c r="C18" s="23">
        <v>-1000</v>
      </c>
      <c r="D18" s="24">
        <v>800</v>
      </c>
      <c r="E18" s="24">
        <v>600</v>
      </c>
      <c r="F18" s="24">
        <v>1000</v>
      </c>
      <c r="G18" s="25"/>
      <c r="I18" s="43">
        <f>NPV($H$15,D18:G18)+C18</f>
        <v>904.38228862973733</v>
      </c>
      <c r="K18" s="39">
        <f>PMT($H$15,3,-1,,0)</f>
        <v>0.41634898055950686</v>
      </c>
      <c r="M18" s="44">
        <f>I18*K18</f>
        <v>376.53864390706485</v>
      </c>
    </row>
    <row r="19" spans="2:13" ht="15.75" thickBot="1" x14ac:dyDescent="0.3">
      <c r="B19" s="10" t="s">
        <v>1</v>
      </c>
      <c r="C19" s="23">
        <v>-1000</v>
      </c>
      <c r="D19" s="24">
        <v>600</v>
      </c>
      <c r="E19" s="24">
        <v>600</v>
      </c>
      <c r="F19" s="24">
        <v>600</v>
      </c>
      <c r="G19" s="25">
        <v>800</v>
      </c>
      <c r="I19" s="43">
        <f>NPV($H$15,D19:G19)+C19</f>
        <v>949.51322365680926</v>
      </c>
      <c r="K19" s="39">
        <f>PMT($H$15,4,-1,,0)</f>
        <v>0.32923443630568988</v>
      </c>
      <c r="M19" s="38">
        <f>I19*K19</f>
        <v>312.61245095544803</v>
      </c>
    </row>
    <row r="23" spans="2:13" x14ac:dyDescent="0.25">
      <c r="B23" s="51" t="s">
        <v>8</v>
      </c>
      <c r="C23" s="51"/>
      <c r="D23" s="51"/>
      <c r="E23" s="51"/>
      <c r="F23" s="51"/>
      <c r="G23" s="51"/>
      <c r="H23" s="51"/>
      <c r="I23" s="51"/>
    </row>
    <row r="24" spans="2:13" x14ac:dyDescent="0.25">
      <c r="B24" s="51"/>
      <c r="C24" s="51"/>
      <c r="D24" s="51"/>
      <c r="E24" s="51"/>
      <c r="F24" s="51"/>
      <c r="G24" s="51"/>
      <c r="H24" s="51"/>
      <c r="I24" s="51"/>
    </row>
    <row r="25" spans="2:13" ht="15.75" thickBot="1" x14ac:dyDescent="0.3"/>
    <row r="26" spans="2:13" ht="18.75" thickBot="1" x14ac:dyDescent="0.3">
      <c r="B26" s="7" t="s">
        <v>3</v>
      </c>
      <c r="C26" s="11" t="s">
        <v>4</v>
      </c>
      <c r="D26" s="12" t="s">
        <v>5</v>
      </c>
      <c r="E26" s="13" t="s">
        <v>6</v>
      </c>
      <c r="F26" s="11" t="s">
        <v>9</v>
      </c>
      <c r="G26" s="12" t="s">
        <v>10</v>
      </c>
      <c r="H26" s="13" t="s">
        <v>11</v>
      </c>
      <c r="J26" s="8" t="s">
        <v>7</v>
      </c>
      <c r="K26" s="8" t="s">
        <v>57</v>
      </c>
    </row>
    <row r="27" spans="2:13" x14ac:dyDescent="0.25">
      <c r="B27" s="9" t="s">
        <v>0</v>
      </c>
      <c r="C27" s="14">
        <v>-3.45</v>
      </c>
      <c r="D27" s="15">
        <v>1.5</v>
      </c>
      <c r="E27" s="15">
        <v>1.8</v>
      </c>
      <c r="F27" s="15">
        <v>1.8</v>
      </c>
      <c r="G27" s="15">
        <v>1.8</v>
      </c>
      <c r="H27" s="17">
        <v>1.6</v>
      </c>
      <c r="J27" s="18">
        <f>NPV(0.09,D27:H27)+C27</f>
        <v>3.1461566389752553</v>
      </c>
      <c r="K27" s="49">
        <f>IRR(C27:H27)</f>
        <v>0.39357286602513319</v>
      </c>
    </row>
    <row r="28" spans="2:13" ht="15.75" thickBot="1" x14ac:dyDescent="0.3">
      <c r="B28" s="10" t="s">
        <v>1</v>
      </c>
      <c r="C28" s="16">
        <v>-150</v>
      </c>
      <c r="D28" s="3">
        <v>35</v>
      </c>
      <c r="E28" s="3">
        <v>45</v>
      </c>
      <c r="F28" s="3">
        <v>45</v>
      </c>
      <c r="G28" s="3">
        <v>45</v>
      </c>
      <c r="H28" s="4">
        <v>52.5</v>
      </c>
      <c r="J28" s="18">
        <f>NPV(0.09,D28:H28)+C28</f>
        <v>20.734480321459301</v>
      </c>
      <c r="K28" s="49">
        <f>IRR(C28:H28)</f>
        <v>0.13898281424501757</v>
      </c>
    </row>
    <row r="29" spans="2:13" x14ac:dyDescent="0.25">
      <c r="B29" s="8" t="s">
        <v>51</v>
      </c>
      <c r="K29" s="49"/>
    </row>
    <row r="30" spans="2:13" x14ac:dyDescent="0.25">
      <c r="B30" s="8" t="s">
        <v>12</v>
      </c>
      <c r="C30">
        <f>C28-C27</f>
        <v>-146.55000000000001</v>
      </c>
      <c r="D30">
        <f t="shared" ref="D30:H30" si="0">D28-D27</f>
        <v>33.5</v>
      </c>
      <c r="E30">
        <f t="shared" si="0"/>
        <v>43.2</v>
      </c>
      <c r="F30">
        <f t="shared" si="0"/>
        <v>43.2</v>
      </c>
      <c r="G30">
        <f t="shared" si="0"/>
        <v>43.2</v>
      </c>
      <c r="H30">
        <f t="shared" si="0"/>
        <v>50.9</v>
      </c>
      <c r="J30" s="42">
        <f>IRR(C30:H30)</f>
        <v>0.13260674894892666</v>
      </c>
      <c r="K30" s="49">
        <f t="shared" ref="K30" si="1">IRR(C30:H30)</f>
        <v>0.13260674894892666</v>
      </c>
      <c r="M30" t="s">
        <v>71</v>
      </c>
    </row>
    <row r="32" spans="2:13" x14ac:dyDescent="0.25">
      <c r="C32" s="62" t="s">
        <v>58</v>
      </c>
      <c r="D32" s="62"/>
    </row>
  </sheetData>
  <mergeCells count="2">
    <mergeCell ref="B12:K14"/>
    <mergeCell ref="B23:I24"/>
  </mergeCells>
  <pageMargins left="0.7" right="0.7" top="0.78740157499999996" bottom="0.78740157499999996"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22"/>
  <sheetViews>
    <sheetView topLeftCell="I1" workbookViewId="0">
      <selection activeCell="H14" sqref="H14"/>
    </sheetView>
  </sheetViews>
  <sheetFormatPr defaultRowHeight="15" x14ac:dyDescent="0.25"/>
  <sheetData>
    <row r="1" spans="2:8" ht="15.75" thickBot="1" x14ac:dyDescent="0.3"/>
    <row r="2" spans="2:8" ht="18.75" thickBot="1" x14ac:dyDescent="0.3">
      <c r="B2" s="7" t="s">
        <v>3</v>
      </c>
      <c r="C2" s="11" t="s">
        <v>4</v>
      </c>
      <c r="D2" s="12" t="s">
        <v>5</v>
      </c>
      <c r="E2" s="13" t="s">
        <v>6</v>
      </c>
      <c r="F2" s="11" t="s">
        <v>9</v>
      </c>
      <c r="G2" s="12" t="s">
        <v>10</v>
      </c>
      <c r="H2" s="13" t="s">
        <v>11</v>
      </c>
    </row>
    <row r="3" spans="2:8" x14ac:dyDescent="0.25">
      <c r="B3" s="28" t="s">
        <v>0</v>
      </c>
      <c r="C3" s="29">
        <v>-3.45</v>
      </c>
      <c r="D3" s="15">
        <v>1.5</v>
      </c>
      <c r="E3" s="15">
        <v>1.8</v>
      </c>
      <c r="F3" s="15">
        <v>1.8</v>
      </c>
      <c r="G3" s="15">
        <v>1.8</v>
      </c>
      <c r="H3" s="17">
        <v>1.6</v>
      </c>
    </row>
    <row r="4" spans="2:8" ht="15.75" thickBot="1" x14ac:dyDescent="0.3">
      <c r="B4" s="6" t="s">
        <v>1</v>
      </c>
      <c r="C4" s="5">
        <v>-150</v>
      </c>
      <c r="D4" s="3">
        <v>35</v>
      </c>
      <c r="E4" s="3">
        <v>45</v>
      </c>
      <c r="F4" s="3">
        <v>45</v>
      </c>
      <c r="G4" s="3">
        <v>45</v>
      </c>
      <c r="H4" s="4">
        <v>52.5</v>
      </c>
    </row>
    <row r="5" spans="2:8" ht="15.75" thickBot="1" x14ac:dyDescent="0.3">
      <c r="B5" s="7" t="s">
        <v>12</v>
      </c>
      <c r="C5" s="30">
        <f t="shared" ref="C5:H5" si="0">C4-C3</f>
        <v>-146.55000000000001</v>
      </c>
      <c r="D5" s="31">
        <f t="shared" si="0"/>
        <v>33.5</v>
      </c>
      <c r="E5" s="31">
        <f t="shared" si="0"/>
        <v>43.2</v>
      </c>
      <c r="F5" s="31">
        <f t="shared" si="0"/>
        <v>43.2</v>
      </c>
      <c r="G5" s="31">
        <f t="shared" si="0"/>
        <v>43.2</v>
      </c>
      <c r="H5" s="32">
        <f t="shared" si="0"/>
        <v>50.9</v>
      </c>
    </row>
    <row r="7" spans="2:8" ht="18" x14ac:dyDescent="0.35">
      <c r="C7" s="35" t="s">
        <v>19</v>
      </c>
      <c r="D7" s="1" t="s">
        <v>16</v>
      </c>
      <c r="E7" s="1" t="s">
        <v>17</v>
      </c>
      <c r="F7" s="1" t="s">
        <v>18</v>
      </c>
    </row>
    <row r="8" spans="2:8" x14ac:dyDescent="0.25">
      <c r="B8" s="1" t="s">
        <v>2</v>
      </c>
      <c r="C8" s="2">
        <v>0</v>
      </c>
      <c r="D8" s="33">
        <f>$C$3+NPV(C8,$D$3:$H$3)</f>
        <v>5.05</v>
      </c>
      <c r="E8" s="33">
        <f>$C$4+NPV(C8,$D$4:$H$4)</f>
        <v>72.5</v>
      </c>
      <c r="F8" s="33">
        <f>$C$5+NPV(C8,$D$5:$H$5)</f>
        <v>67.450000000000017</v>
      </c>
    </row>
    <row r="9" spans="2:8" x14ac:dyDescent="0.25">
      <c r="C9" s="2">
        <f>C8+0.05</f>
        <v>0.05</v>
      </c>
      <c r="D9" s="33">
        <f t="shared" ref="D9:D21" si="1">$C$3+NPV(C9,$D$3:$H$3)</f>
        <v>3.9006384881274974</v>
      </c>
      <c r="E9" s="33">
        <f t="shared" ref="E9:E21" si="2">$C$4+NPV(C9,$D$4:$H$4)</f>
        <v>41.179086903090763</v>
      </c>
      <c r="F9" s="33">
        <f t="shared" ref="F9:F21" si="3">$C$5+NPV(C9,$D$5:$H$5)</f>
        <v>37.278448414963236</v>
      </c>
    </row>
    <row r="10" spans="2:8" x14ac:dyDescent="0.25">
      <c r="C10" s="2">
        <v>0.09</v>
      </c>
      <c r="D10" s="33">
        <f t="shared" si="1"/>
        <v>3.1461566389752553</v>
      </c>
      <c r="E10" s="33">
        <f t="shared" si="2"/>
        <v>20.734480321459301</v>
      </c>
      <c r="F10" s="33">
        <f t="shared" si="3"/>
        <v>17.588323682484059</v>
      </c>
    </row>
    <row r="11" spans="2:8" x14ac:dyDescent="0.25">
      <c r="C11" s="2">
        <f>C9+0.05</f>
        <v>0.1</v>
      </c>
      <c r="D11" s="33">
        <f t="shared" si="1"/>
        <v>2.9765046475961014</v>
      </c>
      <c r="E11" s="33">
        <f t="shared" si="2"/>
        <v>16.151405455414704</v>
      </c>
      <c r="F11" s="33">
        <f t="shared" si="3"/>
        <v>13.174900807818602</v>
      </c>
    </row>
    <row r="12" spans="2:8" x14ac:dyDescent="0.25">
      <c r="C12" s="34">
        <f>[1]List1!G52</f>
        <v>0.13260674894892666</v>
      </c>
      <c r="D12" s="33">
        <f t="shared" si="1"/>
        <v>2.4687714150722027</v>
      </c>
      <c r="E12" s="33">
        <f t="shared" si="2"/>
        <v>2.4687714167030776</v>
      </c>
      <c r="F12" s="33">
        <f t="shared" si="3"/>
        <v>1.6308376871165819E-9</v>
      </c>
    </row>
    <row r="13" spans="2:8" x14ac:dyDescent="0.25">
      <c r="C13" s="34">
        <f>[1]List1!G51</f>
        <v>0.13898281424501757</v>
      </c>
      <c r="D13" s="33">
        <f t="shared" si="1"/>
        <v>2.3769516570855798</v>
      </c>
      <c r="E13" s="33">
        <f t="shared" si="2"/>
        <v>0</v>
      </c>
      <c r="F13" s="33">
        <f t="shared" si="3"/>
        <v>-2.3769516570855842</v>
      </c>
    </row>
    <row r="14" spans="2:8" x14ac:dyDescent="0.25">
      <c r="C14" s="2">
        <f>C11+0.05</f>
        <v>0.15000000000000002</v>
      </c>
      <c r="D14" s="33">
        <f t="shared" si="1"/>
        <v>2.2235742641434753</v>
      </c>
      <c r="E14" s="33">
        <f t="shared" si="2"/>
        <v>-4.1198472486627509</v>
      </c>
      <c r="F14" s="33">
        <f t="shared" si="3"/>
        <v>-6.343421512806259</v>
      </c>
    </row>
    <row r="15" spans="2:8" x14ac:dyDescent="0.25">
      <c r="C15" s="2">
        <f t="shared" ref="C15:C21" si="4">C14+0.05</f>
        <v>0.2</v>
      </c>
      <c r="D15" s="33">
        <f t="shared" si="1"/>
        <v>1.6027263374485603</v>
      </c>
      <c r="E15" s="33">
        <f t="shared" si="2"/>
        <v>-20.741705246913568</v>
      </c>
      <c r="F15" s="33">
        <f t="shared" si="3"/>
        <v>-22.344431584362141</v>
      </c>
    </row>
    <row r="16" spans="2:8" x14ac:dyDescent="0.25">
      <c r="C16" s="2">
        <f t="shared" si="4"/>
        <v>0.25</v>
      </c>
      <c r="D16" s="33">
        <f t="shared" si="1"/>
        <v>1.0851680000000004</v>
      </c>
      <c r="E16" s="33">
        <f t="shared" si="2"/>
        <v>-34.524799999999999</v>
      </c>
      <c r="F16" s="33">
        <f t="shared" si="3"/>
        <v>-35.609968000000009</v>
      </c>
    </row>
    <row r="17" spans="3:6" x14ac:dyDescent="0.25">
      <c r="C17" s="2">
        <f t="shared" si="4"/>
        <v>0.3</v>
      </c>
      <c r="D17" s="33">
        <f t="shared" si="1"/>
        <v>0.6493905083047613</v>
      </c>
      <c r="E17" s="33">
        <f t="shared" si="2"/>
        <v>-46.071700786171576</v>
      </c>
      <c r="F17" s="33">
        <f t="shared" si="3"/>
        <v>-46.721091294476352</v>
      </c>
    </row>
    <row r="18" spans="3:6" x14ac:dyDescent="0.25">
      <c r="C18" s="2">
        <f t="shared" si="4"/>
        <v>0.35</v>
      </c>
      <c r="D18" s="33">
        <f t="shared" si="1"/>
        <v>0.27910563849915437</v>
      </c>
      <c r="E18" s="33">
        <f t="shared" si="2"/>
        <v>-55.836542114322725</v>
      </c>
      <c r="F18" s="33">
        <f t="shared" si="3"/>
        <v>-56.1156477528219</v>
      </c>
    </row>
    <row r="19" spans="3:6" x14ac:dyDescent="0.25">
      <c r="C19" s="34">
        <f>[1]List1!G50</f>
        <v>0.39357286602513319</v>
      </c>
      <c r="D19" s="33">
        <f t="shared" si="1"/>
        <v>1.8953727476400672E-12</v>
      </c>
      <c r="E19" s="33">
        <f t="shared" si="2"/>
        <v>-63.165677521487979</v>
      </c>
      <c r="F19" s="33">
        <f t="shared" si="3"/>
        <v>-63.165677521489883</v>
      </c>
    </row>
    <row r="20" spans="3:6" x14ac:dyDescent="0.25">
      <c r="C20" s="2">
        <f>C18+0.05</f>
        <v>0.39999999999999997</v>
      </c>
      <c r="D20" s="33">
        <f t="shared" si="1"/>
        <v>-3.8177545070506635E-2</v>
      </c>
      <c r="E20" s="33">
        <f t="shared" si="2"/>
        <v>-64.165972511453546</v>
      </c>
      <c r="F20" s="33">
        <f t="shared" si="3"/>
        <v>-64.12779496638305</v>
      </c>
    </row>
    <row r="21" spans="3:6" x14ac:dyDescent="0.25">
      <c r="C21" s="2">
        <f t="shared" si="4"/>
        <v>0.44999999999999996</v>
      </c>
      <c r="D21" s="33">
        <f t="shared" si="1"/>
        <v>-0.31214994586602618</v>
      </c>
      <c r="E21" s="33">
        <f t="shared" si="2"/>
        <v>-71.327727666548569</v>
      </c>
      <c r="F21" s="33">
        <f t="shared" si="3"/>
        <v>-71.015577720682543</v>
      </c>
    </row>
    <row r="22" spans="3:6" x14ac:dyDescent="0.25">
      <c r="C22" s="2"/>
      <c r="D22" s="33"/>
      <c r="E22" s="33"/>
      <c r="F22" s="33"/>
    </row>
  </sheetData>
  <phoneticPr fontId="0" type="noConversion"/>
  <pageMargins left="0.7" right="0.7" top="0.78740157499999996" bottom="0.78740157499999996"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FinMat</vt:lpstr>
      <vt:lpstr>Kriteria</vt:lpstr>
      <vt:lpstr>GRAF</vt:lpstr>
    </vt:vector>
  </TitlesOfParts>
  <Company>K13116 FEL CVUT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Kucerkova, Blanka</cp:lastModifiedBy>
  <dcterms:created xsi:type="dcterms:W3CDTF">2013-10-08T08:54:06Z</dcterms:created>
  <dcterms:modified xsi:type="dcterms:W3CDTF">2023-03-14T12:28:54Z</dcterms:modified>
</cp:coreProperties>
</file>