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 NTB VYUKA\ZFM dálkaři\2_konzultace\"/>
    </mc:Choice>
  </mc:AlternateContent>
  <xr:revisionPtr revIDLastSave="0" documentId="13_ncr:1_{C27AE48E-422A-4221-AB45-7AB38EFCD057}" xr6:coauthVersionLast="36" xr6:coauthVersionMax="47" xr10:uidLastSave="{00000000-0000-0000-0000-000000000000}"/>
  <bookViews>
    <workbookView xWindow="-120" yWindow="-120" windowWidth="20730" windowHeight="11160" xr2:uid="{8530F7A7-46E6-467F-B776-B4C453FA9D46}"/>
  </bookViews>
  <sheets>
    <sheet name="Příklad 1" sheetId="4" r:id="rId1"/>
    <sheet name="Příklad 1 řešení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3" l="1"/>
  <c r="L31" i="3"/>
  <c r="L30" i="3"/>
  <c r="L28" i="3"/>
  <c r="Y27" i="3"/>
  <c r="Y26" i="3"/>
  <c r="Y23" i="3"/>
  <c r="Y24" i="3" s="1"/>
  <c r="Y19" i="3"/>
  <c r="Y18" i="3"/>
  <c r="Y16" i="3"/>
  <c r="Y15" i="3"/>
  <c r="Y14" i="3"/>
  <c r="Y13" i="3"/>
  <c r="Y11" i="3"/>
  <c r="T27" i="3"/>
  <c r="T26" i="3"/>
  <c r="L27" i="3" s="1"/>
  <c r="T23" i="3"/>
  <c r="T19" i="3"/>
  <c r="T18" i="3"/>
  <c r="L29" i="3" s="1"/>
  <c r="T17" i="3"/>
  <c r="T16" i="3"/>
  <c r="T15" i="3"/>
  <c r="T11" i="3"/>
  <c r="O17" i="3"/>
  <c r="L25" i="3"/>
  <c r="L24" i="3"/>
  <c r="G27" i="3"/>
  <c r="G26" i="3"/>
  <c r="G25" i="3"/>
  <c r="G24" i="3"/>
  <c r="K31" i="3"/>
  <c r="F31" i="3"/>
  <c r="Y28" i="3" l="1"/>
  <c r="T24" i="3" l="1"/>
  <c r="T14" i="3"/>
  <c r="O15" i="3"/>
  <c r="O18" i="3"/>
  <c r="J17" i="3"/>
  <c r="F17" i="3"/>
  <c r="T28" i="3" l="1"/>
  <c r="O20" i="3"/>
  <c r="O21" i="3" s="1"/>
  <c r="Y17" i="3" s="1"/>
  <c r="Y21" i="3" s="1"/>
  <c r="Y30" i="3" s="1"/>
  <c r="Y31" i="3" s="1"/>
  <c r="T13" i="3" l="1"/>
  <c r="O22" i="3"/>
  <c r="L26" i="3" s="1"/>
  <c r="T20" i="3"/>
  <c r="T21" i="3" l="1"/>
  <c r="T30" i="3" s="1"/>
  <c r="T31" i="3" s="1"/>
  <c r="G29" i="3" l="1"/>
  <c r="G31" i="3" s="1"/>
</calcChain>
</file>

<file path=xl/sharedStrings.xml><?xml version="1.0" encoding="utf-8"?>
<sst xmlns="http://schemas.openxmlformats.org/spreadsheetml/2006/main" count="91" uniqueCount="55">
  <si>
    <t>Výsledovka</t>
  </si>
  <si>
    <t>HV po zdanění</t>
  </si>
  <si>
    <t>odpisy</t>
  </si>
  <si>
    <t>provozní HV</t>
  </si>
  <si>
    <t>Závazky vůči zaměstnancům</t>
  </si>
  <si>
    <t>Pohledávky</t>
  </si>
  <si>
    <t>Zásoby</t>
  </si>
  <si>
    <t>HV před zdaněním</t>
  </si>
  <si>
    <t>Zaplacená daň z příjmu</t>
  </si>
  <si>
    <t>Dlouhodobý hmotný majetek</t>
  </si>
  <si>
    <t>Základní kapitál</t>
  </si>
  <si>
    <t>Dlouhodobý nehmotný majetek</t>
  </si>
  <si>
    <t>Nerozdělený zisk</t>
  </si>
  <si>
    <t>Oprávky</t>
  </si>
  <si>
    <t>Dlouhodobé závazky</t>
  </si>
  <si>
    <t>Závazky vůči státu</t>
  </si>
  <si>
    <t>Závazky vůči dodavatelům</t>
  </si>
  <si>
    <t>Peněžní prostředky</t>
  </si>
  <si>
    <t>Aktiva celkem</t>
  </si>
  <si>
    <t>Pasiva celkem</t>
  </si>
  <si>
    <t>Výnosy z prodeje výrobků</t>
  </si>
  <si>
    <t>Spotřeba materiálu</t>
  </si>
  <si>
    <t>Mzdové náklady</t>
  </si>
  <si>
    <t>Odpisy</t>
  </si>
  <si>
    <t>zaplacené úroky</t>
  </si>
  <si>
    <t>Máte zadanou rozvahu k 1. 1. 2017. Dále znáte následující údaje za rok 2017 z hospodaření firmy A&amp;R a.s.: Výnosy z prodeje výrobků činily 10 000 000 Kč, ale odběratelé zaplatili 70 % fakturované částky, podnik nakoupil materiál v hodnotě 1 400 000 Kč, ale spotřeboval materiál v hodnotě 1 200 000 Kč. Mzdové náklady činily 2 000 000 Kč, ale zaměstnancům bylo vyplaceno jen 80 % mezd. Odpisy hmotného a nehmotného majetku činily 750 000 Kč. Dále společnost splatila část úvěru, splátka činila 350 000, z toho úroky činily 50 000 Kč. Podnik investoval do hardwarového vybavení 100 000 Kč. Dále společnost vyplatila dividendy ve výši 400 000 Kč a zaplatila 50 % závazků vůči dodavatelům. Daňová sazba činí 19 %. V roce 2017 byly zcela splaceny závazky vůči státu včetně daně z příjmu za rok 2017.  Sestavte výsledovku za rok 2017, stanovte výši hotovostního toku (cash flow) za rok 2017 nepřímou metodou a sestavte konečnou rozvahu k 31. 12. 2017</t>
  </si>
  <si>
    <t>dan</t>
  </si>
  <si>
    <t>finanční HV</t>
  </si>
  <si>
    <t>Počáteční stav PP a PE</t>
  </si>
  <si>
    <t>změna stavu pohledávek</t>
  </si>
  <si>
    <t>změna stavu závazků vůči zaměstnancům</t>
  </si>
  <si>
    <t>změna stavu závazků vůči státu</t>
  </si>
  <si>
    <t>změna stavu zásob</t>
  </si>
  <si>
    <t>Hardwarové vybavení</t>
  </si>
  <si>
    <t>úmor úvěru</t>
  </si>
  <si>
    <t>vyplacené dividendy</t>
  </si>
  <si>
    <t>změna stavu závazků vůči dodavatelům</t>
  </si>
  <si>
    <t>Investiční CF</t>
  </si>
  <si>
    <t>finanční CF</t>
  </si>
  <si>
    <t>Provozni CF</t>
  </si>
  <si>
    <t>zaplacená daň z příjmu</t>
  </si>
  <si>
    <t>Přírůstek peněžních prostředků a peněžních ekvivalentů</t>
  </si>
  <si>
    <t>Konečný stav PP a PE</t>
  </si>
  <si>
    <t>Cash flow - přímá metoda</t>
  </si>
  <si>
    <t>Cash flow - nepřímá metoda</t>
  </si>
  <si>
    <t>Příjmy z prodeje</t>
  </si>
  <si>
    <t>Nakoupený materiál</t>
  </si>
  <si>
    <t>Vyplacené mzdy</t>
  </si>
  <si>
    <t>Úroky z úvěru</t>
  </si>
  <si>
    <t>Zaplacené závazky vůči dodavatelům</t>
  </si>
  <si>
    <t>Zaplacené závazky vůči státy</t>
  </si>
  <si>
    <t>Aktuální hospodářský výsledek</t>
  </si>
  <si>
    <t>Konečná rozvaha</t>
  </si>
  <si>
    <t>Máte zadanou rozvahu k 1. 1. 2017. Dále znáte následující údaje za rok 2017 z hospodaření firmy A&amp;R a.s.: Výnosy z prodeje výrobků činily 10 000 000 Kč, ale odběratelé zaplatili 70 % fakturované částky, podnik nakoupil materiál v hodnotě 1 400 000 Kč, ale spotřeboval materiál v hodnotě 1 200 000 Kč. Mzdové náklady činily 2 000 000 Kč, ale zaměstnancům bylo vyplaceno jen 80 % mezd. Odpisy hmotného a nehmotného majetku činily 750 000 Kč. Dále společnost splatila část úvěru, splátka činila 350 000, z toho úroky činily 50 000 Kč. Podnik investoval do hardwarového vybavení 100 000 Kč. Dále společnost vyplatila dividendy ve výši 400 000 Kč a zaplatila 50 % závazků vůči dodavatelům. Daňová sazba činí 19 %. V roce 2017 byly zcela splaceny závazky vůči státu včetně daně z příjmu za rok 2017.  Doplňte rozvahu, sestavte výsledovku za rok 2017, stanovte výši hotovostního toku (cash flow) za rok 2017 nepřímou metodou a sestavte konečnou rozvahu k 31. 12. 2017</t>
  </si>
  <si>
    <t>Rozvaha ke dni 1.1.2017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</si>
</sst>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0" borderId="1" xfId="0" applyBorder="1"/>
    <xf numFmtId="3" fontId="0" fillId="0" borderId="1" xfId="0" applyNumberFormat="1" applyBorder="1"/>
    <xf numFmtId="3" fontId="0" fillId="3" borderId="1" xfId="0" applyNumberFormat="1" applyFill="1" applyBorder="1"/>
    <xf numFmtId="3" fontId="2" fillId="0" borderId="1" xfId="0" applyNumberFormat="1" applyFont="1" applyBorder="1"/>
    <xf numFmtId="165" fontId="0" fillId="0" borderId="0" xfId="1" applyNumberFormat="1" applyFont="1"/>
    <xf numFmtId="165" fontId="0" fillId="4" borderId="0" xfId="1" applyNumberFormat="1" applyFont="1" applyFill="1"/>
    <xf numFmtId="0" fontId="2" fillId="5" borderId="0" xfId="0" applyFont="1" applyFill="1"/>
    <xf numFmtId="0" fontId="0" fillId="5" borderId="0" xfId="0" applyFill="1"/>
    <xf numFmtId="165" fontId="2" fillId="5" borderId="0" xfId="1" applyNumberFormat="1" applyFont="1" applyFill="1"/>
    <xf numFmtId="165" fontId="0" fillId="3" borderId="1" xfId="1" applyNumberFormat="1" applyFont="1" applyFill="1" applyBorder="1"/>
    <xf numFmtId="165" fontId="2" fillId="0" borderId="0" xfId="1" applyNumberFormat="1" applyFont="1"/>
    <xf numFmtId="165" fontId="2" fillId="2" borderId="0" xfId="1" applyNumberFormat="1" applyFont="1" applyFill="1"/>
    <xf numFmtId="3" fontId="0" fillId="0" borderId="3" xfId="0" applyNumberFormat="1" applyBorder="1"/>
    <xf numFmtId="3" fontId="0" fillId="0" borderId="4" xfId="0" applyNumberFormat="1" applyBorder="1"/>
    <xf numFmtId="3" fontId="0" fillId="0" borderId="6" xfId="0" applyNumberFormat="1" applyBorder="1"/>
    <xf numFmtId="165" fontId="0" fillId="0" borderId="6" xfId="0" applyNumberFormat="1" applyBorder="1"/>
    <xf numFmtId="1" fontId="0" fillId="0" borderId="6" xfId="0" applyNumberFormat="1" applyBorder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165" fontId="0" fillId="0" borderId="9" xfId="0" applyNumberForma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0" fillId="0" borderId="14" xfId="0" applyBorder="1"/>
    <xf numFmtId="165" fontId="0" fillId="2" borderId="6" xfId="0" applyNumberFormat="1" applyFill="1" applyBorder="1"/>
    <xf numFmtId="0" fontId="0" fillId="0" borderId="9" xfId="0" applyBorder="1"/>
    <xf numFmtId="3" fontId="0" fillId="5" borderId="6" xfId="0" applyNumberFormat="1" applyFill="1" applyBorder="1"/>
    <xf numFmtId="165" fontId="0" fillId="5" borderId="0" xfId="1" applyNumberFormat="1" applyFont="1" applyFill="1"/>
    <xf numFmtId="0" fontId="5" fillId="0" borderId="0" xfId="0" applyFont="1"/>
    <xf numFmtId="0" fontId="4" fillId="0" borderId="0" xfId="0" applyFont="1"/>
    <xf numFmtId="165" fontId="4" fillId="3" borderId="1" xfId="1" applyNumberFormat="1" applyFont="1" applyFill="1" applyBorder="1"/>
    <xf numFmtId="165" fontId="4" fillId="0" borderId="0" xfId="1" applyNumberFormat="1" applyFont="1"/>
    <xf numFmtId="165" fontId="4" fillId="0" borderId="0" xfId="1" applyNumberFormat="1" applyFont="1" applyFill="1"/>
    <xf numFmtId="3" fontId="4" fillId="0" borderId="0" xfId="0" applyNumberFormat="1" applyFont="1"/>
    <xf numFmtId="165" fontId="5" fillId="0" borderId="0" xfId="1" applyNumberFormat="1" applyFont="1"/>
    <xf numFmtId="0" fontId="5" fillId="2" borderId="0" xfId="0" applyFont="1" applyFill="1"/>
    <xf numFmtId="165" fontId="5" fillId="2" borderId="0" xfId="1" applyNumberFormat="1" applyFont="1" applyFill="1"/>
    <xf numFmtId="0" fontId="0" fillId="0" borderId="1" xfId="0" applyBorder="1"/>
    <xf numFmtId="49" fontId="3" fillId="0" borderId="0" xfId="0" applyNumberFormat="1" applyFont="1" applyAlignment="1">
      <alignment horizontal="left" vertical="center" wrapText="1"/>
    </xf>
    <xf numFmtId="0" fontId="2" fillId="0" borderId="1" xfId="0" applyFont="1" applyBorder="1"/>
    <xf numFmtId="49" fontId="3" fillId="0" borderId="0" xfId="0" applyNumberFormat="1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0" borderId="10" xfId="0" applyFont="1" applyBorder="1"/>
    <xf numFmtId="0" fontId="2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8" xfId="0" applyBorder="1"/>
    <xf numFmtId="0" fontId="2" fillId="0" borderId="16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45F1-53FE-455C-BA35-5D12526A2C7B}">
  <dimension ref="B2:S17"/>
  <sheetViews>
    <sheetView tabSelected="1" workbookViewId="0">
      <selection activeCell="I30" sqref="I30"/>
    </sheetView>
  </sheetViews>
  <sheetFormatPr defaultRowHeight="15" x14ac:dyDescent="0.25"/>
  <sheetData>
    <row r="2" spans="2:19" ht="15" customHeight="1" x14ac:dyDescent="0.25">
      <c r="B2" s="41" t="s">
        <v>53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2:19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2:19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2:19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2:19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2:19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2:19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2:19" x14ac:dyDescent="0.25"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2:19" x14ac:dyDescent="0.25">
      <c r="B10" t="s">
        <v>54</v>
      </c>
    </row>
    <row r="11" spans="2:19" x14ac:dyDescent="0.25">
      <c r="B11" s="40" t="s">
        <v>9</v>
      </c>
      <c r="C11" s="40"/>
      <c r="D11" s="40"/>
      <c r="E11" s="40"/>
      <c r="F11" s="4">
        <v>6000000</v>
      </c>
      <c r="G11" s="40" t="s">
        <v>10</v>
      </c>
      <c r="H11" s="40"/>
      <c r="I11" s="40"/>
      <c r="J11" s="4">
        <v>4500000</v>
      </c>
    </row>
    <row r="12" spans="2:19" x14ac:dyDescent="0.25">
      <c r="B12" s="40" t="s">
        <v>11</v>
      </c>
      <c r="C12" s="40"/>
      <c r="D12" s="40"/>
      <c r="E12" s="40"/>
      <c r="F12" s="4">
        <v>2000000</v>
      </c>
      <c r="G12" s="40" t="s">
        <v>12</v>
      </c>
      <c r="H12" s="40"/>
      <c r="I12" s="40"/>
      <c r="J12" s="4">
        <v>750000</v>
      </c>
    </row>
    <row r="13" spans="2:19" x14ac:dyDescent="0.25">
      <c r="B13" s="40" t="s">
        <v>13</v>
      </c>
      <c r="C13" s="40"/>
      <c r="D13" s="40"/>
      <c r="E13" s="40"/>
      <c r="F13" s="4">
        <v>2000000</v>
      </c>
      <c r="G13" s="40" t="s">
        <v>14</v>
      </c>
      <c r="H13" s="40"/>
      <c r="I13" s="40"/>
      <c r="J13" s="4">
        <v>1200000</v>
      </c>
    </row>
    <row r="14" spans="2:19" x14ac:dyDescent="0.25">
      <c r="B14" s="40" t="s">
        <v>6</v>
      </c>
      <c r="C14" s="40"/>
      <c r="D14" s="40"/>
      <c r="E14" s="40"/>
      <c r="F14" s="4">
        <v>500000</v>
      </c>
      <c r="G14" s="40" t="s">
        <v>15</v>
      </c>
      <c r="H14" s="40"/>
      <c r="I14" s="40"/>
      <c r="J14" s="4">
        <v>450000</v>
      </c>
    </row>
    <row r="15" spans="2:19" x14ac:dyDescent="0.25">
      <c r="B15" s="40" t="s">
        <v>5</v>
      </c>
      <c r="C15" s="40"/>
      <c r="D15" s="40"/>
      <c r="E15" s="40"/>
      <c r="F15" s="4">
        <v>250000</v>
      </c>
      <c r="G15" s="40" t="s">
        <v>16</v>
      </c>
      <c r="H15" s="40"/>
      <c r="I15" s="40"/>
      <c r="J15" s="4">
        <v>300000</v>
      </c>
    </row>
    <row r="16" spans="2:19" x14ac:dyDescent="0.25">
      <c r="B16" s="40" t="s">
        <v>17</v>
      </c>
      <c r="C16" s="40"/>
      <c r="D16" s="40"/>
      <c r="E16" s="40"/>
      <c r="F16" s="6"/>
      <c r="G16" s="40"/>
      <c r="H16" s="40"/>
      <c r="I16" s="40"/>
      <c r="J16" s="4"/>
    </row>
    <row r="17" spans="2:10" x14ac:dyDescent="0.25">
      <c r="B17" s="42" t="s">
        <v>18</v>
      </c>
      <c r="C17" s="42"/>
      <c r="D17" s="42"/>
      <c r="E17" s="42"/>
      <c r="F17" s="6"/>
      <c r="G17" s="42" t="s">
        <v>19</v>
      </c>
      <c r="H17" s="42"/>
      <c r="I17" s="42"/>
      <c r="J17" s="6"/>
    </row>
  </sheetData>
  <mergeCells count="15">
    <mergeCell ref="B16:E16"/>
    <mergeCell ref="G16:I16"/>
    <mergeCell ref="B17:E17"/>
    <mergeCell ref="G17:I17"/>
    <mergeCell ref="B13:E13"/>
    <mergeCell ref="G13:I13"/>
    <mergeCell ref="B14:E14"/>
    <mergeCell ref="G14:I14"/>
    <mergeCell ref="B15:E15"/>
    <mergeCell ref="G15:I15"/>
    <mergeCell ref="B11:E11"/>
    <mergeCell ref="G11:I11"/>
    <mergeCell ref="B12:E12"/>
    <mergeCell ref="G12:I12"/>
    <mergeCell ref="B2:S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F9D-8E06-437F-A6C2-78AFB985FB32}">
  <dimension ref="B2:Y31"/>
  <sheetViews>
    <sheetView workbookViewId="0">
      <selection activeCell="L32" sqref="L32"/>
    </sheetView>
  </sheetViews>
  <sheetFormatPr defaultRowHeight="15" x14ac:dyDescent="0.25"/>
  <cols>
    <col min="7" max="7" width="12.5703125" customWidth="1"/>
    <col min="12" max="12" width="10.28515625" bestFit="1" customWidth="1"/>
    <col min="15" max="15" width="11.28515625" bestFit="1" customWidth="1"/>
    <col min="20" max="20" width="10.28515625" bestFit="1" customWidth="1"/>
    <col min="25" max="25" width="10.28515625" bestFit="1" customWidth="1"/>
  </cols>
  <sheetData>
    <row r="2" spans="2:25" x14ac:dyDescent="0.25">
      <c r="B2" s="43" t="s">
        <v>25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25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2:25" x14ac:dyDescent="0.25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2:25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25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2:25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2:25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2:25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2:25" x14ac:dyDescent="0.25">
      <c r="L10" s="1" t="s">
        <v>0</v>
      </c>
      <c r="Q10" s="1" t="s">
        <v>44</v>
      </c>
      <c r="V10" s="31" t="s">
        <v>43</v>
      </c>
      <c r="W10" s="32"/>
      <c r="X10" s="32"/>
      <c r="Y10" s="32"/>
    </row>
    <row r="11" spans="2:25" x14ac:dyDescent="0.25">
      <c r="B11" s="40" t="s">
        <v>9</v>
      </c>
      <c r="C11" s="40"/>
      <c r="D11" s="40"/>
      <c r="E11" s="40"/>
      <c r="F11" s="4">
        <v>6000000</v>
      </c>
      <c r="G11" s="40" t="s">
        <v>10</v>
      </c>
      <c r="H11" s="40"/>
      <c r="I11" s="40"/>
      <c r="J11" s="4">
        <v>4500000</v>
      </c>
      <c r="L11" t="s">
        <v>20</v>
      </c>
      <c r="O11" s="7">
        <v>10000000</v>
      </c>
      <c r="Q11" t="s">
        <v>28</v>
      </c>
      <c r="T11" s="12">
        <f>F16</f>
        <v>450000</v>
      </c>
      <c r="V11" s="32" t="s">
        <v>28</v>
      </c>
      <c r="W11" s="32"/>
      <c r="X11" s="32"/>
      <c r="Y11" s="33">
        <f>F16</f>
        <v>450000</v>
      </c>
    </row>
    <row r="12" spans="2:25" x14ac:dyDescent="0.25">
      <c r="B12" s="40" t="s">
        <v>11</v>
      </c>
      <c r="C12" s="40"/>
      <c r="D12" s="40"/>
      <c r="E12" s="40"/>
      <c r="F12" s="4">
        <v>2000000</v>
      </c>
      <c r="G12" s="40" t="s">
        <v>12</v>
      </c>
      <c r="H12" s="40"/>
      <c r="I12" s="40"/>
      <c r="J12" s="4">
        <v>750000</v>
      </c>
      <c r="L12" t="s">
        <v>21</v>
      </c>
      <c r="O12" s="7">
        <v>-1200000</v>
      </c>
      <c r="T12" s="7"/>
      <c r="V12" s="32"/>
      <c r="W12" s="32"/>
      <c r="X12" s="32"/>
      <c r="Y12" s="34"/>
    </row>
    <row r="13" spans="2:25" x14ac:dyDescent="0.25">
      <c r="B13" s="40" t="s">
        <v>13</v>
      </c>
      <c r="C13" s="40"/>
      <c r="D13" s="40"/>
      <c r="E13" s="40"/>
      <c r="F13" s="4">
        <v>2000000</v>
      </c>
      <c r="G13" s="40" t="s">
        <v>14</v>
      </c>
      <c r="H13" s="40"/>
      <c r="I13" s="40"/>
      <c r="J13" s="4">
        <v>1200000</v>
      </c>
      <c r="L13" t="s">
        <v>22</v>
      </c>
      <c r="O13" s="7">
        <v>-2000000</v>
      </c>
      <c r="Q13" t="s">
        <v>7</v>
      </c>
      <c r="T13" s="8">
        <f>O20</f>
        <v>6000000</v>
      </c>
      <c r="V13" s="32" t="s">
        <v>45</v>
      </c>
      <c r="W13" s="32"/>
      <c r="X13" s="32"/>
      <c r="Y13" s="35">
        <f>0.7*O11</f>
        <v>7000000</v>
      </c>
    </row>
    <row r="14" spans="2:25" x14ac:dyDescent="0.25">
      <c r="B14" s="40" t="s">
        <v>6</v>
      </c>
      <c r="C14" s="40"/>
      <c r="D14" s="40"/>
      <c r="E14" s="40"/>
      <c r="F14" s="4">
        <v>500000</v>
      </c>
      <c r="G14" s="40" t="s">
        <v>15</v>
      </c>
      <c r="H14" s="40"/>
      <c r="I14" s="40"/>
      <c r="J14" s="4">
        <v>450000</v>
      </c>
      <c r="L14" t="s">
        <v>23</v>
      </c>
      <c r="O14" s="7">
        <v>-750000</v>
      </c>
      <c r="Q14" t="s">
        <v>2</v>
      </c>
      <c r="T14" s="7">
        <f>-O14</f>
        <v>750000</v>
      </c>
      <c r="V14" s="32" t="s">
        <v>46</v>
      </c>
      <c r="W14" s="32"/>
      <c r="X14" s="32"/>
      <c r="Y14" s="34">
        <f>-1400000</f>
        <v>-1400000</v>
      </c>
    </row>
    <row r="15" spans="2:25" x14ac:dyDescent="0.25">
      <c r="B15" s="40" t="s">
        <v>5</v>
      </c>
      <c r="C15" s="40"/>
      <c r="D15" s="40"/>
      <c r="E15" s="40"/>
      <c r="F15" s="4">
        <v>250000</v>
      </c>
      <c r="G15" s="40" t="s">
        <v>16</v>
      </c>
      <c r="H15" s="40"/>
      <c r="I15" s="40"/>
      <c r="J15" s="4">
        <v>300000</v>
      </c>
      <c r="L15" t="s">
        <v>3</v>
      </c>
      <c r="O15" s="7">
        <f>SUM(O11:O14)</f>
        <v>6050000</v>
      </c>
      <c r="Q15" t="s">
        <v>29</v>
      </c>
      <c r="T15" s="7">
        <f>-0.3*O11</f>
        <v>-3000000</v>
      </c>
      <c r="V15" s="32" t="s">
        <v>47</v>
      </c>
      <c r="W15" s="32"/>
      <c r="X15" s="32"/>
      <c r="Y15" s="34">
        <f>-0.8*2000000</f>
        <v>-1600000</v>
      </c>
    </row>
    <row r="16" spans="2:25" x14ac:dyDescent="0.25">
      <c r="B16" s="40" t="s">
        <v>17</v>
      </c>
      <c r="C16" s="40"/>
      <c r="D16" s="40"/>
      <c r="E16" s="40"/>
      <c r="F16" s="5">
        <v>450000</v>
      </c>
      <c r="G16" s="40"/>
      <c r="H16" s="40"/>
      <c r="I16" s="40"/>
      <c r="J16" s="4"/>
      <c r="O16" s="7"/>
      <c r="Q16" t="s">
        <v>30</v>
      </c>
      <c r="T16" s="7">
        <f>0.2*2000000</f>
        <v>400000</v>
      </c>
      <c r="V16" s="32" t="s">
        <v>48</v>
      </c>
      <c r="W16" s="32"/>
      <c r="X16" s="32"/>
      <c r="Y16" s="34">
        <f>-50000</f>
        <v>-50000</v>
      </c>
    </row>
    <row r="17" spans="2:25" x14ac:dyDescent="0.25">
      <c r="B17" s="42" t="s">
        <v>18</v>
      </c>
      <c r="C17" s="42"/>
      <c r="D17" s="42"/>
      <c r="E17" s="42"/>
      <c r="F17" s="6">
        <f>SUM(F14:F16)-F13+F12+F11</f>
        <v>7200000</v>
      </c>
      <c r="G17" s="42" t="s">
        <v>19</v>
      </c>
      <c r="H17" s="42"/>
      <c r="I17" s="42"/>
      <c r="J17" s="6">
        <f t="shared" ref="J17" si="0">SUM(J11:J16)</f>
        <v>7200000</v>
      </c>
      <c r="L17" t="s">
        <v>24</v>
      </c>
      <c r="O17" s="7">
        <f>-50000</f>
        <v>-50000</v>
      </c>
      <c r="Q17" t="s">
        <v>31</v>
      </c>
      <c r="T17" s="7">
        <f>-J14</f>
        <v>-450000</v>
      </c>
      <c r="V17" s="32" t="s">
        <v>8</v>
      </c>
      <c r="W17" s="32"/>
      <c r="X17" s="32"/>
      <c r="Y17" s="34">
        <f>-O21</f>
        <v>-1140000</v>
      </c>
    </row>
    <row r="18" spans="2:25" x14ac:dyDescent="0.25">
      <c r="L18" t="s">
        <v>27</v>
      </c>
      <c r="O18" s="7">
        <f>O17</f>
        <v>-50000</v>
      </c>
      <c r="Q18" t="s">
        <v>36</v>
      </c>
      <c r="T18" s="7">
        <f>-0.5*J15</f>
        <v>-150000</v>
      </c>
      <c r="V18" s="32" t="s">
        <v>49</v>
      </c>
      <c r="W18" s="32"/>
      <c r="X18" s="32"/>
      <c r="Y18" s="32">
        <f>-J15/2</f>
        <v>-150000</v>
      </c>
    </row>
    <row r="19" spans="2:25" x14ac:dyDescent="0.25">
      <c r="O19" s="7"/>
      <c r="Q19" t="s">
        <v>32</v>
      </c>
      <c r="T19" s="7">
        <f>-O12-1400000</f>
        <v>-200000</v>
      </c>
      <c r="V19" s="32" t="s">
        <v>50</v>
      </c>
      <c r="W19" s="32"/>
      <c r="X19" s="32"/>
      <c r="Y19" s="36">
        <f>-J14</f>
        <v>-450000</v>
      </c>
    </row>
    <row r="20" spans="2:25" x14ac:dyDescent="0.25">
      <c r="L20" t="s">
        <v>7</v>
      </c>
      <c r="O20" s="8">
        <f>O15+O18</f>
        <v>6000000</v>
      </c>
      <c r="Q20" t="s">
        <v>40</v>
      </c>
      <c r="T20" s="7">
        <f>-O21</f>
        <v>-1140000</v>
      </c>
      <c r="V20" s="32"/>
      <c r="W20" s="32"/>
      <c r="X20" s="32"/>
      <c r="Y20" s="34"/>
    </row>
    <row r="21" spans="2:25" x14ac:dyDescent="0.25">
      <c r="L21" t="s">
        <v>26</v>
      </c>
      <c r="O21" s="7">
        <f>0.19*O20</f>
        <v>1140000</v>
      </c>
      <c r="Q21" s="1" t="s">
        <v>39</v>
      </c>
      <c r="R21" s="1"/>
      <c r="S21" s="1"/>
      <c r="T21" s="13">
        <f>SUM(T13:T20)</f>
        <v>2210000</v>
      </c>
      <c r="V21" s="31" t="s">
        <v>39</v>
      </c>
      <c r="W21" s="32"/>
      <c r="X21" s="32"/>
      <c r="Y21" s="37">
        <f>SUM(Y13:Y20)</f>
        <v>2210000</v>
      </c>
    </row>
    <row r="22" spans="2:25" x14ac:dyDescent="0.25">
      <c r="L22" s="9" t="s">
        <v>1</v>
      </c>
      <c r="M22" s="9"/>
      <c r="N22" s="10"/>
      <c r="O22" s="11">
        <f>O20-O21</f>
        <v>4860000</v>
      </c>
      <c r="T22" s="7"/>
      <c r="V22" s="32"/>
      <c r="W22" s="32"/>
      <c r="X22" s="32"/>
      <c r="Y22" s="34"/>
    </row>
    <row r="23" spans="2:25" ht="15.75" thickBot="1" x14ac:dyDescent="0.3">
      <c r="B23" s="1" t="s">
        <v>52</v>
      </c>
      <c r="Q23" t="s">
        <v>33</v>
      </c>
      <c r="T23" s="7">
        <f>-100000</f>
        <v>-100000</v>
      </c>
      <c r="V23" s="32" t="s">
        <v>33</v>
      </c>
      <c r="W23" s="32"/>
      <c r="X23" s="32"/>
      <c r="Y23" s="34">
        <f>-100000</f>
        <v>-100000</v>
      </c>
    </row>
    <row r="24" spans="2:25" x14ac:dyDescent="0.25">
      <c r="B24" s="45" t="s">
        <v>9</v>
      </c>
      <c r="C24" s="46"/>
      <c r="D24" s="46"/>
      <c r="E24" s="46"/>
      <c r="F24" s="15">
        <v>6000000</v>
      </c>
      <c r="G24" s="16">
        <f>F24+100000</f>
        <v>6100000</v>
      </c>
      <c r="H24" s="50" t="s">
        <v>10</v>
      </c>
      <c r="I24" s="46"/>
      <c r="J24" s="46"/>
      <c r="K24" s="15">
        <v>4500000</v>
      </c>
      <c r="L24" s="16">
        <f>K24</f>
        <v>4500000</v>
      </c>
      <c r="Q24" s="1" t="s">
        <v>37</v>
      </c>
      <c r="R24" s="1"/>
      <c r="S24" s="1"/>
      <c r="T24" s="13">
        <f>T23</f>
        <v>-100000</v>
      </c>
      <c r="V24" s="31" t="s">
        <v>37</v>
      </c>
      <c r="W24" s="31"/>
      <c r="X24" s="31"/>
      <c r="Y24" s="37">
        <f>Y23</f>
        <v>-100000</v>
      </c>
    </row>
    <row r="25" spans="2:25" x14ac:dyDescent="0.25">
      <c r="B25" s="47" t="s">
        <v>11</v>
      </c>
      <c r="C25" s="40"/>
      <c r="D25" s="40"/>
      <c r="E25" s="40"/>
      <c r="F25" s="4">
        <v>2000000</v>
      </c>
      <c r="G25" s="17">
        <f>F25</f>
        <v>2000000</v>
      </c>
      <c r="H25" s="51" t="s">
        <v>12</v>
      </c>
      <c r="I25" s="40"/>
      <c r="J25" s="40"/>
      <c r="K25" s="4">
        <v>750000</v>
      </c>
      <c r="L25" s="17">
        <f>K25</f>
        <v>750000</v>
      </c>
      <c r="T25" s="7"/>
      <c r="V25" s="32"/>
      <c r="W25" s="32"/>
      <c r="X25" s="32"/>
      <c r="Y25" s="34"/>
    </row>
    <row r="26" spans="2:25" x14ac:dyDescent="0.25">
      <c r="B26" s="47" t="s">
        <v>13</v>
      </c>
      <c r="C26" s="40"/>
      <c r="D26" s="40"/>
      <c r="E26" s="40"/>
      <c r="F26" s="4">
        <v>2000000</v>
      </c>
      <c r="G26" s="17">
        <f>F26+750000</f>
        <v>2750000</v>
      </c>
      <c r="H26" s="26" t="s">
        <v>51</v>
      </c>
      <c r="I26" s="3"/>
      <c r="J26" s="3"/>
      <c r="K26" s="4"/>
      <c r="L26" s="29">
        <f>O22+T27</f>
        <v>4460000</v>
      </c>
      <c r="Q26" t="s">
        <v>34</v>
      </c>
      <c r="T26" s="7">
        <f>-300000</f>
        <v>-300000</v>
      </c>
      <c r="V26" s="32" t="s">
        <v>34</v>
      </c>
      <c r="W26" s="32"/>
      <c r="X26" s="32"/>
      <c r="Y26" s="34">
        <f>-300000</f>
        <v>-300000</v>
      </c>
    </row>
    <row r="27" spans="2:25" x14ac:dyDescent="0.25">
      <c r="B27" s="47" t="s">
        <v>6</v>
      </c>
      <c r="C27" s="40"/>
      <c r="D27" s="40"/>
      <c r="E27" s="40"/>
      <c r="F27" s="4">
        <v>500000</v>
      </c>
      <c r="G27" s="17">
        <f>F27+200000</f>
        <v>700000</v>
      </c>
      <c r="H27" s="51" t="s">
        <v>14</v>
      </c>
      <c r="I27" s="40"/>
      <c r="J27" s="40"/>
      <c r="K27" s="4">
        <v>1200000</v>
      </c>
      <c r="L27" s="18">
        <f>K27+T26</f>
        <v>900000</v>
      </c>
      <c r="Q27" t="s">
        <v>35</v>
      </c>
      <c r="T27" s="30">
        <f>-400000</f>
        <v>-400000</v>
      </c>
      <c r="V27" s="32" t="s">
        <v>35</v>
      </c>
      <c r="W27" s="32"/>
      <c r="X27" s="32"/>
      <c r="Y27" s="34">
        <f>-400000</f>
        <v>-400000</v>
      </c>
    </row>
    <row r="28" spans="2:25" x14ac:dyDescent="0.25">
      <c r="B28" s="47" t="s">
        <v>5</v>
      </c>
      <c r="C28" s="40"/>
      <c r="D28" s="40"/>
      <c r="E28" s="40"/>
      <c r="F28" s="4">
        <v>250000</v>
      </c>
      <c r="G28" s="17">
        <f>F28-T15</f>
        <v>3250000</v>
      </c>
      <c r="H28" s="51" t="s">
        <v>15</v>
      </c>
      <c r="I28" s="40"/>
      <c r="J28" s="40"/>
      <c r="K28" s="4">
        <v>450000</v>
      </c>
      <c r="L28" s="19">
        <f>K28+T17</f>
        <v>0</v>
      </c>
      <c r="Q28" s="1" t="s">
        <v>38</v>
      </c>
      <c r="R28" s="1"/>
      <c r="S28" s="1"/>
      <c r="T28" s="13">
        <f>T26+T27</f>
        <v>-700000</v>
      </c>
      <c r="V28" s="31" t="s">
        <v>38</v>
      </c>
      <c r="W28" s="31"/>
      <c r="X28" s="31"/>
      <c r="Y28" s="37">
        <f>Y26+Y27</f>
        <v>-700000</v>
      </c>
    </row>
    <row r="29" spans="2:25" x14ac:dyDescent="0.25">
      <c r="B29" s="47" t="s">
        <v>17</v>
      </c>
      <c r="C29" s="40"/>
      <c r="D29" s="40"/>
      <c r="E29" s="40"/>
      <c r="F29" s="5">
        <v>450000</v>
      </c>
      <c r="G29" s="27">
        <f>T31</f>
        <v>1860000</v>
      </c>
      <c r="H29" s="51" t="s">
        <v>16</v>
      </c>
      <c r="I29" s="40"/>
      <c r="J29" s="40"/>
      <c r="K29" s="4">
        <v>300000</v>
      </c>
      <c r="L29" s="18">
        <f>K29+T18</f>
        <v>150000</v>
      </c>
      <c r="T29" s="7"/>
      <c r="V29" s="32"/>
      <c r="W29" s="32"/>
      <c r="X29" s="32"/>
      <c r="Y29" s="34"/>
    </row>
    <row r="30" spans="2:25" ht="15.75" thickBot="1" x14ac:dyDescent="0.3">
      <c r="B30" s="20"/>
      <c r="C30" s="21"/>
      <c r="D30" s="21"/>
      <c r="E30" s="21"/>
      <c r="F30" s="21"/>
      <c r="G30" s="28"/>
      <c r="H30" s="52" t="s">
        <v>4</v>
      </c>
      <c r="I30" s="53"/>
      <c r="J30" s="53"/>
      <c r="K30" s="22"/>
      <c r="L30" s="23">
        <f>T16</f>
        <v>400000</v>
      </c>
      <c r="Q30" s="1" t="s">
        <v>41</v>
      </c>
      <c r="R30" s="1"/>
      <c r="S30" s="1"/>
      <c r="T30" s="13">
        <f>T21+T24+T28</f>
        <v>1410000</v>
      </c>
      <c r="V30" s="31" t="s">
        <v>41</v>
      </c>
      <c r="W30" s="31"/>
      <c r="X30" s="31"/>
      <c r="Y30" s="37">
        <f>Y21+Y24+Y28</f>
        <v>1410000</v>
      </c>
    </row>
    <row r="31" spans="2:25" ht="15.75" thickBot="1" x14ac:dyDescent="0.3">
      <c r="B31" s="48" t="s">
        <v>18</v>
      </c>
      <c r="C31" s="49"/>
      <c r="D31" s="49"/>
      <c r="E31" s="49"/>
      <c r="F31" s="24">
        <f>SUM(F27:F29)-F26+F25+F24</f>
        <v>7200000</v>
      </c>
      <c r="G31" s="25">
        <f>SUM(G27:G29)-G26+G25+G24</f>
        <v>11160000</v>
      </c>
      <c r="H31" s="54" t="s">
        <v>19</v>
      </c>
      <c r="I31" s="49"/>
      <c r="J31" s="49"/>
      <c r="K31" s="24">
        <f>SUM(K24:K30)</f>
        <v>7200000</v>
      </c>
      <c r="L31" s="25">
        <f>SUM(L24:L30)</f>
        <v>11160000</v>
      </c>
      <c r="Q31" s="2" t="s">
        <v>42</v>
      </c>
      <c r="R31" s="2"/>
      <c r="S31" s="2"/>
      <c r="T31" s="14">
        <f>T30+T11</f>
        <v>1860000</v>
      </c>
      <c r="V31" s="38" t="s">
        <v>42</v>
      </c>
      <c r="W31" s="38"/>
      <c r="X31" s="38"/>
      <c r="Y31" s="39">
        <f>Y30+Y11</f>
        <v>1860000</v>
      </c>
    </row>
  </sheetData>
  <mergeCells count="29">
    <mergeCell ref="B27:E27"/>
    <mergeCell ref="B28:E28"/>
    <mergeCell ref="B29:E29"/>
    <mergeCell ref="B31:E31"/>
    <mergeCell ref="H24:J24"/>
    <mergeCell ref="H25:J25"/>
    <mergeCell ref="H27:J27"/>
    <mergeCell ref="H28:J28"/>
    <mergeCell ref="H29:J29"/>
    <mergeCell ref="H30:J30"/>
    <mergeCell ref="H31:J31"/>
    <mergeCell ref="B13:E13"/>
    <mergeCell ref="G13:I13"/>
    <mergeCell ref="B24:E24"/>
    <mergeCell ref="B25:E25"/>
    <mergeCell ref="B26:E26"/>
    <mergeCell ref="B17:E17"/>
    <mergeCell ref="G17:I17"/>
    <mergeCell ref="B14:E14"/>
    <mergeCell ref="G14:I14"/>
    <mergeCell ref="B15:E15"/>
    <mergeCell ref="G15:I15"/>
    <mergeCell ref="B16:E16"/>
    <mergeCell ref="G16:I16"/>
    <mergeCell ref="B2:P9"/>
    <mergeCell ref="B11:E11"/>
    <mergeCell ref="G11:I11"/>
    <mergeCell ref="B12:E12"/>
    <mergeCell ref="G12:I1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Příklad 1</vt:lpstr>
      <vt:lpstr>Příklad 1 řešení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Kucerkova, Blanka</cp:lastModifiedBy>
  <dcterms:created xsi:type="dcterms:W3CDTF">2021-03-19T17:43:20Z</dcterms:created>
  <dcterms:modified xsi:type="dcterms:W3CDTF">2023-04-03T09:40:33Z</dcterms:modified>
</cp:coreProperties>
</file>