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ka\Documents\Vyuka skola\ZFM dálkaři\3_konzultace\"/>
    </mc:Choice>
  </mc:AlternateContent>
  <xr:revisionPtr revIDLastSave="0" documentId="13_ncr:1_{7681AEA7-316D-4F40-AF0D-B99C4C335B79}" xr6:coauthVersionLast="47" xr6:coauthVersionMax="47" xr10:uidLastSave="{00000000-0000-0000-0000-000000000000}"/>
  <bookViews>
    <workbookView xWindow="-120" yWindow="-120" windowWidth="20730" windowHeight="11160" xr2:uid="{BB28574A-587F-4159-AAC5-BD77734E1337}"/>
  </bookViews>
  <sheets>
    <sheet name="Akcie Obligace" sheetId="1" r:id="rId1"/>
    <sheet name="Financni paka" sheetId="2" r:id="rId2"/>
    <sheet name="List2" sheetId="3" r:id="rId3"/>
    <sheet name="List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2" l="1"/>
  <c r="K21" i="2"/>
  <c r="K20" i="2"/>
  <c r="J20" i="2"/>
  <c r="H21" i="2"/>
  <c r="H20" i="2"/>
  <c r="G21" i="2"/>
  <c r="I21" i="2"/>
  <c r="I20" i="2"/>
  <c r="G20" i="2"/>
  <c r="F21" i="2"/>
  <c r="F20" i="2"/>
  <c r="E21" i="2"/>
  <c r="E20" i="2"/>
  <c r="D21" i="2"/>
  <c r="D20" i="2"/>
  <c r="C21" i="2"/>
  <c r="C20" i="2"/>
  <c r="I33" i="1"/>
  <c r="J16" i="1"/>
  <c r="M7" i="1"/>
  <c r="Q7" i="1"/>
  <c r="U7" i="1"/>
  <c r="D10" i="1"/>
  <c r="K7" i="1" s="1"/>
  <c r="H8" i="1"/>
  <c r="H9" i="1" s="1"/>
  <c r="G25" i="1"/>
  <c r="K25" i="1" s="1"/>
  <c r="C34" i="3"/>
  <c r="C33" i="3"/>
  <c r="G37" i="3"/>
  <c r="F37" i="3"/>
  <c r="G36" i="3"/>
  <c r="F36" i="3"/>
  <c r="D36" i="3"/>
  <c r="C36" i="3"/>
  <c r="G35" i="3"/>
  <c r="G33" i="3" s="1"/>
  <c r="F35" i="3"/>
  <c r="F33" i="3" s="1"/>
  <c r="G34" i="3"/>
  <c r="F34" i="3"/>
  <c r="D34" i="3"/>
  <c r="G31" i="3"/>
  <c r="F31" i="3"/>
  <c r="D31" i="3"/>
  <c r="C31" i="3"/>
  <c r="G30" i="3"/>
  <c r="F30" i="3"/>
  <c r="D30" i="3"/>
  <c r="C30" i="3"/>
  <c r="G29" i="3"/>
  <c r="F29" i="3"/>
  <c r="D29" i="3"/>
  <c r="C29" i="3"/>
  <c r="G28" i="3"/>
  <c r="F28" i="3"/>
  <c r="D23" i="3"/>
  <c r="D37" i="3" s="1"/>
  <c r="C23" i="3"/>
  <c r="C37" i="3" s="1"/>
  <c r="J7" i="1" l="1"/>
  <c r="R7" i="1"/>
  <c r="N7" i="1"/>
  <c r="V7" i="1"/>
  <c r="L7" i="1"/>
  <c r="T7" i="1"/>
  <c r="P7" i="1"/>
  <c r="S7" i="1"/>
  <c r="O7" i="1"/>
  <c r="C28" i="3"/>
  <c r="D28" i="3"/>
  <c r="D35" i="3"/>
  <c r="D33" i="3" s="1"/>
  <c r="K8" i="1" l="1"/>
  <c r="L5" i="3"/>
  <c r="L4" i="3"/>
  <c r="F6" i="3"/>
  <c r="C10" i="3"/>
  <c r="F5" i="3"/>
  <c r="F4" i="3"/>
</calcChain>
</file>

<file path=xl/sharedStrings.xml><?xml version="1.0" encoding="utf-8"?>
<sst xmlns="http://schemas.openxmlformats.org/spreadsheetml/2006/main" count="78" uniqueCount="68">
  <si>
    <t>Určete hodnotu akcie, očekáváte- li, že hodnota vyplácených dividend se nebude v příštích letech měnit a bude činit 150 Kč na jednu akcii. Roční úroková míra v rámci investic do akcií je 15 %.</t>
  </si>
  <si>
    <t>Akcie se v současné době prodává na trhu za 1 600 Kč. Dividenda činí v současnosti 20 Kč a výše dividendy za 4 roky je odhadována na 28 Kč. V příštích letech se předpokládá kontinuální růst dividend. Určete požadovanou míru výnosnosti.</t>
  </si>
  <si>
    <t xml:space="preserve">Podnik se rozhoduje jakým způsobem pro příští období navýšit svůj kapitál o 2 000 000 Kč. </t>
  </si>
  <si>
    <t>Současná bilance: </t>
  </si>
  <si>
    <t>Aktiva = 1 000 000</t>
  </si>
  <si>
    <t>Pasiva = 1 000 000 (1 000 ks akcií, nominální hodnota 1 akcie = 1 000 Kč)</t>
  </si>
  <si>
    <t>Úroková sazba z úvěru</t>
  </si>
  <si>
    <t xml:space="preserve">Náklady na vlastní kapitál </t>
  </si>
  <si>
    <t>Sazba daně z příjmu</t>
  </si>
  <si>
    <t>EBIT pro příští období</t>
  </si>
  <si>
    <t> Rozhodněte se podle ukazatele ROE, která varianta je pro vás výhodnější.</t>
  </si>
  <si>
    <t>ČEZ 2019</t>
  </si>
  <si>
    <t>EAT</t>
  </si>
  <si>
    <t>EBIT</t>
  </si>
  <si>
    <t>Aktiva</t>
  </si>
  <si>
    <t>Vlastní kapitál</t>
  </si>
  <si>
    <t>ROE</t>
  </si>
  <si>
    <t>Zadluženost</t>
  </si>
  <si>
    <t>obezna aktiva</t>
  </si>
  <si>
    <t>kratkodobe zavazky</t>
  </si>
  <si>
    <t>zasoby</t>
  </si>
  <si>
    <t>pohotovostni likvidita</t>
  </si>
  <si>
    <t>Alza 2019</t>
  </si>
  <si>
    <t>Zadluzenost</t>
  </si>
  <si>
    <t>Equity</t>
  </si>
  <si>
    <t>EBT</t>
  </si>
  <si>
    <t>WACC</t>
  </si>
  <si>
    <t>Alza</t>
  </si>
  <si>
    <t>ČEZ</t>
  </si>
  <si>
    <t>tržby za vlastní výrobky a služby</t>
  </si>
  <si>
    <t>tržby za prodej zboží</t>
  </si>
  <si>
    <t>tržby</t>
  </si>
  <si>
    <t>VK</t>
  </si>
  <si>
    <t>Aktiva celkem</t>
  </si>
  <si>
    <t>DLHDB. Závazky</t>
  </si>
  <si>
    <t>ROS</t>
  </si>
  <si>
    <t>ROA</t>
  </si>
  <si>
    <t>ROCE</t>
  </si>
  <si>
    <t>daně</t>
  </si>
  <si>
    <t>rentabilita tržeb</t>
  </si>
  <si>
    <t>podíl Equity</t>
  </si>
  <si>
    <t>obrat aktiv</t>
  </si>
  <si>
    <t>Du Pont analýza:</t>
  </si>
  <si>
    <t>Za jakou maximální cenu budete jako investor ochotni koupit obligaci z chystané emise k 1.5.2023, jestliže Obligace 10,00/36 (výplata kuponů vždy k 30.4) bude mít nominální hodnotu 10 000 Kč. Jako investor požadujete výnosnost 9 % do doby splatnosti (maturity) obligace.</t>
  </si>
  <si>
    <t>Investor odhaduje, že dividenda na konci tohoto roku bude 20 Kč na akcii. Kolik zaplatí za jednu akcii na začátku následujícího roku? Dividendy se budou vyplácet každý rok a pravidelně růst o 5 % ročně. Investor požaduje 15% výnos.</t>
  </si>
  <si>
    <t>žtž</t>
  </si>
  <si>
    <t>a)    emitovat 2 000 ks akcií o nominální hodnotě 1 000 Kč za akcii;                                    tržní cena 1 akcie = 1 000Kč</t>
  </si>
  <si>
    <t>b)   požádat banku o poskytnutí dlouhodobého úvěru ve výši 2 000 000 Kč</t>
  </si>
  <si>
    <t>zasobitel</t>
  </si>
  <si>
    <t>diskont</t>
  </si>
  <si>
    <t>maturita</t>
  </si>
  <si>
    <t>let</t>
  </si>
  <si>
    <t>nominale</t>
  </si>
  <si>
    <t>Kč</t>
  </si>
  <si>
    <t>kupon</t>
  </si>
  <si>
    <t>cena obligace</t>
  </si>
  <si>
    <t>NPV</t>
  </si>
  <si>
    <t>hodnota akcie</t>
  </si>
  <si>
    <t>růst dividend</t>
  </si>
  <si>
    <t>míra výnosnosti</t>
  </si>
  <si>
    <t>cena akcie</t>
  </si>
  <si>
    <t>a)</t>
  </si>
  <si>
    <t>b)</t>
  </si>
  <si>
    <t>úroky</t>
  </si>
  <si>
    <t>daň</t>
  </si>
  <si>
    <t>v tis. Kč</t>
  </si>
  <si>
    <t>aktiva nyní</t>
  </si>
  <si>
    <t>navýšení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</si>
</sst>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0%"/>
    <numFmt numFmtId="171" formatCode="0.000000"/>
    <numFmt numFmtId="175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2" tint="-0.499984740745262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9" fontId="0" fillId="0" borderId="0" xfId="1" applyFont="1"/>
    <xf numFmtId="0" fontId="4" fillId="0" borderId="0" xfId="0" applyFont="1" applyAlignment="1">
      <alignment vertical="center"/>
    </xf>
    <xf numFmtId="164" fontId="0" fillId="0" borderId="0" xfId="1" applyNumberFormat="1" applyFont="1"/>
    <xf numFmtId="10" fontId="0" fillId="0" borderId="0" xfId="1" applyNumberFormat="1" applyFont="1"/>
    <xf numFmtId="165" fontId="0" fillId="0" borderId="0" xfId="2" applyNumberFormat="1" applyFont="1"/>
    <xf numFmtId="0" fontId="5" fillId="0" borderId="0" xfId="0" applyFont="1"/>
    <xf numFmtId="165" fontId="5" fillId="0" borderId="0" xfId="2" applyNumberFormat="1" applyFont="1"/>
    <xf numFmtId="164" fontId="0" fillId="3" borderId="0" xfId="1" applyNumberFormat="1" applyFont="1" applyFill="1"/>
    <xf numFmtId="164" fontId="0" fillId="0" borderId="0" xfId="1" applyNumberFormat="1" applyFont="1" applyFill="1"/>
    <xf numFmtId="9" fontId="0" fillId="0" borderId="0" xfId="1" applyFont="1" applyFill="1"/>
    <xf numFmtId="10" fontId="0" fillId="0" borderId="0" xfId="1" applyNumberFormat="1" applyFont="1" applyFill="1"/>
    <xf numFmtId="0" fontId="0" fillId="4" borderId="0" xfId="0" applyFill="1"/>
    <xf numFmtId="9" fontId="0" fillId="4" borderId="0" xfId="1" applyFont="1" applyFill="1"/>
    <xf numFmtId="0" fontId="3" fillId="0" borderId="0" xfId="0" applyFont="1" applyAlignment="1">
      <alignment wrapText="1"/>
    </xf>
    <xf numFmtId="166" fontId="0" fillId="0" borderId="0" xfId="1" applyNumberFormat="1" applyFont="1"/>
    <xf numFmtId="0" fontId="3" fillId="0" borderId="0" xfId="0" applyFont="1" applyAlignment="1">
      <alignment wrapText="1"/>
    </xf>
    <xf numFmtId="171" fontId="0" fillId="0" borderId="0" xfId="0" applyNumberFormat="1"/>
    <xf numFmtId="3" fontId="0" fillId="0" borderId="0" xfId="0" applyNumberFormat="1"/>
    <xf numFmtId="0" fontId="2" fillId="2" borderId="0" xfId="0" applyFont="1" applyFill="1"/>
    <xf numFmtId="0" fontId="3" fillId="0" borderId="0" xfId="0" applyFont="1" applyAlignment="1">
      <alignment horizontal="left" vertical="center" wrapText="1"/>
    </xf>
    <xf numFmtId="164" fontId="2" fillId="2" borderId="0" xfId="1" applyNumberFormat="1" applyFont="1" applyFill="1"/>
    <xf numFmtId="10" fontId="2" fillId="2" borderId="0" xfId="1" applyNumberFormat="1" applyFont="1" applyFill="1"/>
    <xf numFmtId="175" fontId="2" fillId="2" borderId="0" xfId="0" applyNumberFormat="1" applyFont="1" applyFill="1"/>
    <xf numFmtId="0" fontId="0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3"/>
    </xf>
    <xf numFmtId="9" fontId="6" fillId="0" borderId="0" xfId="0" applyNumberFormat="1" applyFont="1" applyAlignment="1">
      <alignment vertical="center"/>
    </xf>
    <xf numFmtId="175" fontId="6" fillId="0" borderId="0" xfId="0" applyNumberFormat="1" applyFont="1" applyAlignment="1">
      <alignment vertical="center"/>
    </xf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DEDC-98BF-44F9-AFF8-41A442252D47}">
  <dimension ref="B2:V33"/>
  <sheetViews>
    <sheetView tabSelected="1" topLeftCell="B1" workbookViewId="0">
      <selection activeCell="B1" sqref="B1"/>
    </sheetView>
  </sheetViews>
  <sheetFormatPr defaultRowHeight="15" x14ac:dyDescent="0.25"/>
  <cols>
    <col min="9" max="11" width="11.42578125" bestFit="1" customWidth="1"/>
  </cols>
  <sheetData>
    <row r="2" spans="2:22" x14ac:dyDescent="0.25">
      <c r="B2" s="16" t="s">
        <v>43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2:22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2:22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6" spans="2:22" x14ac:dyDescent="0.25">
      <c r="J6">
        <v>2024</v>
      </c>
      <c r="K6">
        <v>2025</v>
      </c>
      <c r="L6">
        <v>2026</v>
      </c>
      <c r="M6">
        <v>2027</v>
      </c>
      <c r="N6">
        <v>2028</v>
      </c>
      <c r="O6">
        <v>2029</v>
      </c>
      <c r="P6">
        <v>2030</v>
      </c>
      <c r="Q6">
        <v>2031</v>
      </c>
      <c r="R6">
        <v>2032</v>
      </c>
      <c r="S6">
        <v>2033</v>
      </c>
      <c r="T6">
        <v>2034</v>
      </c>
      <c r="U6">
        <v>2035</v>
      </c>
      <c r="V6">
        <v>2036</v>
      </c>
    </row>
    <row r="7" spans="2:22" x14ac:dyDescent="0.25">
      <c r="C7" t="s">
        <v>49</v>
      </c>
      <c r="D7">
        <v>0.09</v>
      </c>
      <c r="J7" s="18">
        <f>$D$10</f>
        <v>1000</v>
      </c>
      <c r="K7" s="18">
        <f t="shared" ref="K7:U7" si="0">$D$10</f>
        <v>1000</v>
      </c>
      <c r="L7" s="18">
        <f t="shared" si="0"/>
        <v>1000</v>
      </c>
      <c r="M7" s="18">
        <f t="shared" si="0"/>
        <v>1000</v>
      </c>
      <c r="N7" s="18">
        <f t="shared" si="0"/>
        <v>1000</v>
      </c>
      <c r="O7" s="18">
        <f t="shared" si="0"/>
        <v>1000</v>
      </c>
      <c r="P7" s="18">
        <f t="shared" si="0"/>
        <v>1000</v>
      </c>
      <c r="Q7" s="18">
        <f t="shared" si="0"/>
        <v>1000</v>
      </c>
      <c r="R7" s="18">
        <f t="shared" si="0"/>
        <v>1000</v>
      </c>
      <c r="S7" s="18">
        <f t="shared" si="0"/>
        <v>1000</v>
      </c>
      <c r="T7" s="18">
        <f t="shared" si="0"/>
        <v>1000</v>
      </c>
      <c r="U7" s="18">
        <f t="shared" si="0"/>
        <v>1000</v>
      </c>
      <c r="V7" s="18">
        <f>D9+$D$10</f>
        <v>11000</v>
      </c>
    </row>
    <row r="8" spans="2:22" x14ac:dyDescent="0.25">
      <c r="C8" t="s">
        <v>50</v>
      </c>
      <c r="D8">
        <v>13</v>
      </c>
      <c r="E8" t="s">
        <v>51</v>
      </c>
      <c r="G8" t="s">
        <v>48</v>
      </c>
      <c r="H8" s="17">
        <f>PV(D7,D8,-1,,0)</f>
        <v>7.4869039235098311</v>
      </c>
      <c r="J8" s="19" t="s">
        <v>56</v>
      </c>
      <c r="K8" s="23">
        <f>NPV(D7,J7:V7)</f>
        <v>10748.690392350976</v>
      </c>
    </row>
    <row r="9" spans="2:22" x14ac:dyDescent="0.25">
      <c r="C9" t="s">
        <v>52</v>
      </c>
      <c r="D9" s="18">
        <v>10000</v>
      </c>
      <c r="E9" t="s">
        <v>53</v>
      </c>
      <c r="G9" s="19" t="s">
        <v>55</v>
      </c>
      <c r="H9" s="23">
        <f>H8*D10+D9/(1+D7)^D8</f>
        <v>10748.690392350984</v>
      </c>
    </row>
    <row r="10" spans="2:22" x14ac:dyDescent="0.25">
      <c r="C10" t="s">
        <v>54</v>
      </c>
      <c r="D10" s="18">
        <f>0.1*D9</f>
        <v>1000</v>
      </c>
    </row>
    <row r="13" spans="2:22" ht="15" customHeight="1" x14ac:dyDescent="0.25">
      <c r="B13" s="16" t="s">
        <v>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2:22" ht="15" customHeight="1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2:22" ht="15" customHeight="1" x14ac:dyDescent="0.2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2:22" ht="15" customHeight="1" x14ac:dyDescent="0.25">
      <c r="B16" s="14"/>
      <c r="C16" s="14"/>
      <c r="D16" s="14"/>
      <c r="E16" s="14"/>
      <c r="F16" s="14"/>
      <c r="G16" s="14"/>
      <c r="H16" s="19" t="s">
        <v>57</v>
      </c>
      <c r="I16" s="19"/>
      <c r="J16" s="23">
        <f>150/0.15</f>
        <v>1000</v>
      </c>
      <c r="K16" s="14"/>
      <c r="L16" s="14"/>
      <c r="M16" s="14"/>
      <c r="N16" s="14"/>
      <c r="O16" s="14"/>
    </row>
    <row r="17" spans="2:15" ht="15" customHeigh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20" spans="2:15" x14ac:dyDescent="0.25">
      <c r="B20" s="20" t="s">
        <v>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2:15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2:15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2:15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5" spans="2:15" x14ac:dyDescent="0.25">
      <c r="E25" t="s">
        <v>58</v>
      </c>
      <c r="G25" s="15">
        <f>(28/20)^0.25-1</f>
        <v>8.7757305937277152E-2</v>
      </c>
      <c r="I25" s="19" t="s">
        <v>59</v>
      </c>
      <c r="J25" s="19"/>
      <c r="K25" s="22">
        <f>(20*(1+G25)+1600*G25)/1600</f>
        <v>0.10135427226149311</v>
      </c>
    </row>
    <row r="27" spans="2:15" ht="15" customHeight="1" x14ac:dyDescent="0.25">
      <c r="B27" s="20" t="s">
        <v>44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15" customHeight="1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7:9" x14ac:dyDescent="0.25">
      <c r="G33" s="19"/>
      <c r="H33" s="19" t="s">
        <v>60</v>
      </c>
      <c r="I33" s="23">
        <f>20*(1+0.05)/(0.15-0.05)</f>
        <v>210.00000000000003</v>
      </c>
    </row>
  </sheetData>
  <mergeCells count="4">
    <mergeCell ref="B2:P4"/>
    <mergeCell ref="B20:O23"/>
    <mergeCell ref="B27:O32"/>
    <mergeCell ref="B13:O1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80C8-92F1-480F-BEE2-2F1CA6336792}">
  <dimension ref="A1:M21"/>
  <sheetViews>
    <sheetView topLeftCell="A15" workbookViewId="0">
      <selection activeCell="I34" sqref="I34"/>
    </sheetView>
  </sheetViews>
  <sheetFormatPr defaultRowHeight="15" x14ac:dyDescent="0.25"/>
  <cols>
    <col min="3" max="3" width="18.7109375" customWidth="1"/>
    <col min="4" max="4" width="15.28515625" bestFit="1" customWidth="1"/>
  </cols>
  <sheetData>
    <row r="1" spans="1:13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/>
      <c r="B2" s="25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/>
      <c r="B3" s="26" t="s">
        <v>46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5">
      <c r="A4" s="24"/>
      <c r="B4" s="26" t="s">
        <v>47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5">
      <c r="A5" s="24"/>
      <c r="B5" s="26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4"/>
      <c r="B6" s="25" t="s">
        <v>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25">
      <c r="A7" s="24"/>
      <c r="B7" s="25" t="s">
        <v>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4"/>
      <c r="B8" s="25" t="s">
        <v>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25">
      <c r="A9" s="24"/>
      <c r="B9" s="25" t="s">
        <v>6</v>
      </c>
      <c r="C9" s="24"/>
      <c r="D9" s="27">
        <v>0.1</v>
      </c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4"/>
      <c r="B10" s="25" t="s">
        <v>7</v>
      </c>
      <c r="C10" s="24"/>
      <c r="D10" s="27">
        <v>0.14000000000000001</v>
      </c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25">
      <c r="A11" s="24"/>
      <c r="B11" s="25" t="s">
        <v>8</v>
      </c>
      <c r="C11" s="24"/>
      <c r="D11" s="27">
        <v>0.2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4"/>
      <c r="B12" s="25" t="s">
        <v>9</v>
      </c>
      <c r="C12" s="24"/>
      <c r="D12" s="28">
        <v>750000</v>
      </c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25">
      <c r="A13" s="24"/>
      <c r="B13" s="25" t="s">
        <v>10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6" spans="1:13" x14ac:dyDescent="0.25">
      <c r="B16" s="25" t="s">
        <v>66</v>
      </c>
      <c r="C16" s="18">
        <v>1000000</v>
      </c>
    </row>
    <row r="17" spans="2:13" x14ac:dyDescent="0.25">
      <c r="B17" s="25" t="s">
        <v>67</v>
      </c>
      <c r="C17" s="18">
        <v>2000000</v>
      </c>
    </row>
    <row r="19" spans="2:13" x14ac:dyDescent="0.25">
      <c r="B19" s="25" t="s">
        <v>65</v>
      </c>
      <c r="C19" t="s">
        <v>33</v>
      </c>
      <c r="D19" t="s">
        <v>24</v>
      </c>
      <c r="E19" t="s">
        <v>13</v>
      </c>
      <c r="F19" t="s">
        <v>63</v>
      </c>
      <c r="G19" t="s">
        <v>25</v>
      </c>
      <c r="H19" t="s">
        <v>64</v>
      </c>
      <c r="I19" t="s">
        <v>12</v>
      </c>
      <c r="J19" s="19" t="s">
        <v>16</v>
      </c>
      <c r="K19" s="19" t="s">
        <v>26</v>
      </c>
      <c r="L19" s="1"/>
      <c r="M19" s="1"/>
    </row>
    <row r="20" spans="2:13" x14ac:dyDescent="0.25">
      <c r="B20" s="25" t="s">
        <v>61</v>
      </c>
      <c r="C20" s="18">
        <f>C16+C17</f>
        <v>3000000</v>
      </c>
      <c r="D20" s="18">
        <f>C20</f>
        <v>3000000</v>
      </c>
      <c r="E20" s="18">
        <f>D12</f>
        <v>750000</v>
      </c>
      <c r="F20" s="18">
        <f>(C20-D20)*$D$9</f>
        <v>0</v>
      </c>
      <c r="G20" s="18">
        <f>E20-F20</f>
        <v>750000</v>
      </c>
      <c r="H20" s="18">
        <f>G20*$D$11</f>
        <v>150000</v>
      </c>
      <c r="I20" s="18">
        <f>G20-H20</f>
        <v>600000</v>
      </c>
      <c r="J20" s="21">
        <f>I20/D20</f>
        <v>0.2</v>
      </c>
      <c r="K20" s="21">
        <f>D20/C20*$D$10+(C20-D20)/C20*(1-$D$11)*$D$9</f>
        <v>0.14000000000000001</v>
      </c>
      <c r="L20" s="1"/>
      <c r="M20" s="1"/>
    </row>
    <row r="21" spans="2:13" ht="15.75" x14ac:dyDescent="0.25">
      <c r="B21" s="2" t="s">
        <v>62</v>
      </c>
      <c r="C21" s="18">
        <f>C16+C17</f>
        <v>3000000</v>
      </c>
      <c r="D21" s="18">
        <f>C21-C17</f>
        <v>1000000</v>
      </c>
      <c r="E21" s="18">
        <f>D12</f>
        <v>750000</v>
      </c>
      <c r="F21" s="18">
        <f>(C21-D21)*$D$9</f>
        <v>200000</v>
      </c>
      <c r="G21" s="18">
        <f>E21-F21</f>
        <v>550000</v>
      </c>
      <c r="H21" s="18">
        <f>G21*$D$11</f>
        <v>110000</v>
      </c>
      <c r="I21" s="18">
        <f>G21-H21</f>
        <v>440000</v>
      </c>
      <c r="J21" s="21">
        <f>I21/D21</f>
        <v>0.44</v>
      </c>
      <c r="K21" s="21">
        <f>D21/C21*$D$10+(C21-D21)/C21*(1-$D$11)*$D$9</f>
        <v>0.1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FF48-8690-45D9-8DC0-977B91438407}">
  <dimension ref="B2:L37"/>
  <sheetViews>
    <sheetView topLeftCell="A42" workbookViewId="0">
      <selection activeCell="C46" sqref="C46"/>
    </sheetView>
  </sheetViews>
  <sheetFormatPr defaultRowHeight="15" x14ac:dyDescent="0.25"/>
  <cols>
    <col min="3" max="3" width="11" customWidth="1"/>
    <col min="4" max="4" width="11.140625" customWidth="1"/>
  </cols>
  <sheetData>
    <row r="2" spans="2:12" x14ac:dyDescent="0.25">
      <c r="B2" t="s">
        <v>11</v>
      </c>
      <c r="I2" t="s">
        <v>22</v>
      </c>
    </row>
    <row r="4" spans="2:12" x14ac:dyDescent="0.25">
      <c r="B4" t="s">
        <v>12</v>
      </c>
      <c r="C4">
        <v>14500</v>
      </c>
      <c r="E4" t="s">
        <v>16</v>
      </c>
      <c r="F4" s="4">
        <f>C4/C7</f>
        <v>5.6781692016102503E-2</v>
      </c>
      <c r="I4">
        <v>1055016</v>
      </c>
      <c r="K4" t="s">
        <v>16</v>
      </c>
      <c r="L4" s="1">
        <f>I4/I7</f>
        <v>0.95027737770656062</v>
      </c>
    </row>
    <row r="5" spans="2:12" x14ac:dyDescent="0.25">
      <c r="B5" t="s">
        <v>13</v>
      </c>
      <c r="E5" t="s">
        <v>17</v>
      </c>
      <c r="F5" s="3">
        <f>(C6-C7)/C6</f>
        <v>0.63756255553000818</v>
      </c>
      <c r="K5" t="s">
        <v>23</v>
      </c>
      <c r="L5">
        <f>(I6-I7)/I6</f>
        <v>0.85624851825989368</v>
      </c>
    </row>
    <row r="6" spans="2:12" x14ac:dyDescent="0.25">
      <c r="B6" t="s">
        <v>14</v>
      </c>
      <c r="C6">
        <v>704574</v>
      </c>
      <c r="E6" t="s">
        <v>21</v>
      </c>
      <c r="F6">
        <f>(C8-C10)/C9</f>
        <v>1.0279165395055978</v>
      </c>
      <c r="I6">
        <v>7723183</v>
      </c>
    </row>
    <row r="7" spans="2:12" x14ac:dyDescent="0.25">
      <c r="B7" t="s">
        <v>15</v>
      </c>
      <c r="C7">
        <v>255364</v>
      </c>
      <c r="I7">
        <v>1110219</v>
      </c>
    </row>
    <row r="8" spans="2:12" x14ac:dyDescent="0.25">
      <c r="B8" t="s">
        <v>18</v>
      </c>
      <c r="C8">
        <v>202638</v>
      </c>
    </row>
    <row r="9" spans="2:12" x14ac:dyDescent="0.25">
      <c r="B9" t="s">
        <v>19</v>
      </c>
      <c r="C9">
        <v>186771</v>
      </c>
    </row>
    <row r="10" spans="2:12" x14ac:dyDescent="0.25">
      <c r="B10" t="s">
        <v>20</v>
      </c>
      <c r="C10">
        <f>8889+1764</f>
        <v>10653</v>
      </c>
    </row>
    <row r="14" spans="2:12" x14ac:dyDescent="0.25">
      <c r="C14" t="s">
        <v>27</v>
      </c>
      <c r="F14" t="s">
        <v>28</v>
      </c>
    </row>
    <row r="16" spans="2:12" x14ac:dyDescent="0.25">
      <c r="C16">
        <v>2018</v>
      </c>
      <c r="D16">
        <v>2019</v>
      </c>
      <c r="F16">
        <v>2018</v>
      </c>
      <c r="G16">
        <v>2019</v>
      </c>
    </row>
    <row r="18" spans="2:11" x14ac:dyDescent="0.25">
      <c r="B18" t="s">
        <v>13</v>
      </c>
      <c r="C18" s="5">
        <v>1311469</v>
      </c>
      <c r="D18" s="5">
        <v>1414132</v>
      </c>
      <c r="F18">
        <v>19759</v>
      </c>
      <c r="G18">
        <v>26429</v>
      </c>
    </row>
    <row r="19" spans="2:11" x14ac:dyDescent="0.25">
      <c r="B19" t="s">
        <v>25</v>
      </c>
      <c r="C19" s="5">
        <v>1194124</v>
      </c>
      <c r="D19" s="5">
        <v>1320137</v>
      </c>
      <c r="F19">
        <v>13517</v>
      </c>
      <c r="G19">
        <v>18411</v>
      </c>
    </row>
    <row r="20" spans="2:11" x14ac:dyDescent="0.25">
      <c r="B20" t="s">
        <v>12</v>
      </c>
      <c r="C20" s="5">
        <v>968582</v>
      </c>
      <c r="D20" s="5">
        <v>1055016</v>
      </c>
      <c r="F20">
        <v>10500</v>
      </c>
      <c r="G20">
        <v>14500</v>
      </c>
    </row>
    <row r="21" spans="2:11" x14ac:dyDescent="0.25">
      <c r="B21" s="6" t="s">
        <v>29</v>
      </c>
      <c r="C21" s="7">
        <v>1391819</v>
      </c>
      <c r="D21" s="7">
        <v>1601047</v>
      </c>
    </row>
    <row r="22" spans="2:11" x14ac:dyDescent="0.25">
      <c r="B22" s="6" t="s">
        <v>30</v>
      </c>
      <c r="C22" s="7">
        <v>23518340</v>
      </c>
      <c r="D22" s="7">
        <v>27564288</v>
      </c>
    </row>
    <row r="23" spans="2:11" x14ac:dyDescent="0.25">
      <c r="B23" t="s">
        <v>31</v>
      </c>
      <c r="C23" s="5">
        <f>C21+C22</f>
        <v>24910159</v>
      </c>
      <c r="D23" s="5">
        <f>D21+D22</f>
        <v>29165335</v>
      </c>
      <c r="F23">
        <v>184486</v>
      </c>
      <c r="G23">
        <v>206192</v>
      </c>
    </row>
    <row r="24" spans="2:11" x14ac:dyDescent="0.25">
      <c r="B24" t="s">
        <v>32</v>
      </c>
      <c r="C24" s="5">
        <v>1024078</v>
      </c>
      <c r="D24" s="5">
        <v>1110219</v>
      </c>
      <c r="F24">
        <v>239281</v>
      </c>
      <c r="G24">
        <v>255364</v>
      </c>
    </row>
    <row r="25" spans="2:11" x14ac:dyDescent="0.25">
      <c r="B25" t="s">
        <v>33</v>
      </c>
      <c r="C25" s="5">
        <v>6816090</v>
      </c>
      <c r="D25" s="5">
        <v>7723183</v>
      </c>
      <c r="F25">
        <v>707443</v>
      </c>
      <c r="G25">
        <v>704574</v>
      </c>
    </row>
    <row r="26" spans="2:11" x14ac:dyDescent="0.25">
      <c r="B26" t="s">
        <v>34</v>
      </c>
      <c r="C26" s="5">
        <v>0</v>
      </c>
      <c r="D26" s="5">
        <v>0</v>
      </c>
      <c r="F26">
        <v>250022</v>
      </c>
      <c r="G26">
        <v>262439</v>
      </c>
    </row>
    <row r="28" spans="2:11" x14ac:dyDescent="0.25">
      <c r="B28" t="s">
        <v>35</v>
      </c>
      <c r="C28" s="1">
        <f>C18/C23</f>
        <v>5.2647957807093887E-2</v>
      </c>
      <c r="D28" s="1">
        <f>D18/D23</f>
        <v>4.848673948027684E-2</v>
      </c>
      <c r="F28" s="1">
        <f>F18/F23</f>
        <v>0.10710297800375096</v>
      </c>
      <c r="G28" s="1">
        <f>G18/G23</f>
        <v>0.12817665088849228</v>
      </c>
      <c r="H28" s="1"/>
      <c r="I28" s="1"/>
      <c r="J28" s="1"/>
      <c r="K28" s="1"/>
    </row>
    <row r="29" spans="2:11" x14ac:dyDescent="0.25">
      <c r="B29" t="s">
        <v>16</v>
      </c>
      <c r="C29" s="8">
        <f>C20/C24</f>
        <v>0.94580881534414374</v>
      </c>
      <c r="D29" s="8">
        <f>D20/D24</f>
        <v>0.95027737770656062</v>
      </c>
      <c r="F29" s="8">
        <f>F20/F24</f>
        <v>4.3881461545212531E-2</v>
      </c>
      <c r="G29" s="8">
        <f>G20/G24</f>
        <v>5.6781692016102503E-2</v>
      </c>
      <c r="H29" s="9"/>
      <c r="I29" s="9"/>
      <c r="J29" s="9"/>
      <c r="K29" s="9"/>
    </row>
    <row r="30" spans="2:11" x14ac:dyDescent="0.25">
      <c r="B30" t="s">
        <v>36</v>
      </c>
      <c r="C30" s="1">
        <f>C18/C25</f>
        <v>0.1924078173850404</v>
      </c>
      <c r="D30" s="1">
        <f>D18/D25</f>
        <v>0.18310222611583851</v>
      </c>
      <c r="F30" s="1">
        <f>F18/F25</f>
        <v>2.7930165398484402E-2</v>
      </c>
      <c r="G30" s="1">
        <f>G18/G25</f>
        <v>3.7510609247573712E-2</v>
      </c>
      <c r="H30" s="10"/>
      <c r="I30" s="10"/>
      <c r="J30" s="10"/>
      <c r="K30" s="10"/>
    </row>
    <row r="31" spans="2:11" x14ac:dyDescent="0.25">
      <c r="B31" t="s">
        <v>37</v>
      </c>
      <c r="C31" s="1">
        <f>C18/(C24+C26)</f>
        <v>1.280633897027375</v>
      </c>
      <c r="D31" s="1">
        <f>D18/(D24+D26)</f>
        <v>1.2737414870399444</v>
      </c>
      <c r="F31" s="1">
        <f>F18/(F24+F26)</f>
        <v>4.0381931032509512E-2</v>
      </c>
      <c r="G31" s="1">
        <f>G18/(G24+G26)</f>
        <v>5.1040646732444579E-2</v>
      </c>
      <c r="H31" s="10"/>
      <c r="I31" s="10"/>
      <c r="J31" s="10"/>
      <c r="K31" s="10"/>
    </row>
    <row r="32" spans="2:11" x14ac:dyDescent="0.25">
      <c r="B32" s="12" t="s">
        <v>42</v>
      </c>
      <c r="C32" s="13"/>
      <c r="D32" s="13"/>
      <c r="E32" s="12"/>
      <c r="F32" s="13"/>
      <c r="G32" s="13"/>
      <c r="H32" s="10"/>
      <c r="I32" s="10"/>
      <c r="J32" s="10"/>
      <c r="K32" s="10"/>
    </row>
    <row r="33" spans="2:11" x14ac:dyDescent="0.25">
      <c r="B33" t="s">
        <v>16</v>
      </c>
      <c r="C33" s="8" t="e">
        <f>C34*C35*C36*C37</f>
        <v>#VALUE!</v>
      </c>
      <c r="D33" s="8">
        <f>D34*D35*D36*D37</f>
        <v>0.95027737770656051</v>
      </c>
      <c r="F33" s="8">
        <f>F34*F35*F36*F37</f>
        <v>4.3881461545212531E-2</v>
      </c>
      <c r="G33" s="8">
        <f>G34*G35*G36*G37</f>
        <v>5.678169201610251E-2</v>
      </c>
      <c r="H33" s="9"/>
      <c r="I33" s="9"/>
      <c r="J33" s="9"/>
      <c r="K33" s="9"/>
    </row>
    <row r="34" spans="2:11" x14ac:dyDescent="0.25">
      <c r="B34" t="s">
        <v>38</v>
      </c>
      <c r="C34" s="4">
        <f>C20/C19</f>
        <v>0.81112346791455492</v>
      </c>
      <c r="D34" s="4">
        <f>D20/D19</f>
        <v>0.79917160112927677</v>
      </c>
      <c r="F34" s="4">
        <f>F20/F19</f>
        <v>0.77679958570688767</v>
      </c>
      <c r="G34" s="4">
        <f>G20/G19</f>
        <v>0.7875726467872467</v>
      </c>
      <c r="H34" s="11"/>
      <c r="I34" s="11"/>
      <c r="J34" s="11"/>
      <c r="K34" s="11"/>
    </row>
    <row r="35" spans="2:11" x14ac:dyDescent="0.25">
      <c r="B35" t="s">
        <v>39</v>
      </c>
      <c r="C35" s="1" t="s">
        <v>45</v>
      </c>
      <c r="D35" s="1">
        <f>D19/D23</f>
        <v>4.526390662065085E-2</v>
      </c>
      <c r="F35" s="1">
        <f>F19/F23</f>
        <v>7.3268432292965313E-2</v>
      </c>
      <c r="G35" s="1">
        <f>G19/G23</f>
        <v>8.9290564134399009E-2</v>
      </c>
      <c r="H35" s="1"/>
      <c r="I35" s="1"/>
      <c r="J35" s="1"/>
      <c r="K35" s="1"/>
    </row>
    <row r="36" spans="2:11" x14ac:dyDescent="0.25">
      <c r="B36" t="s">
        <v>40</v>
      </c>
      <c r="C36" s="1">
        <f>C25/C24</f>
        <v>6.6558309035053966</v>
      </c>
      <c r="D36" s="1">
        <f>D25/D24</f>
        <v>6.9564500337320831</v>
      </c>
      <c r="F36" s="1">
        <f>F25/F24</f>
        <v>2.9565364571361705</v>
      </c>
      <c r="G36" s="1">
        <f>G25/G24</f>
        <v>2.7590968186588558</v>
      </c>
      <c r="H36" s="1"/>
      <c r="I36" s="1"/>
      <c r="J36" s="1"/>
      <c r="K36" s="1"/>
    </row>
    <row r="37" spans="2:11" x14ac:dyDescent="0.25">
      <c r="B37" t="s">
        <v>41</v>
      </c>
      <c r="C37" s="1">
        <f>C23/C25</f>
        <v>3.6546112213893891</v>
      </c>
      <c r="D37" s="1">
        <f>D23/D25</f>
        <v>3.7763361298055478</v>
      </c>
      <c r="F37" s="1">
        <f>F23/F25</f>
        <v>0.26077860689836496</v>
      </c>
      <c r="G37" s="1">
        <f>G23/G25</f>
        <v>0.29264775594898479</v>
      </c>
      <c r="H37" s="1"/>
      <c r="I37" s="1"/>
      <c r="J37" s="1"/>
      <c r="K37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2B51-0DA8-4071-B630-761C65B3B59B}">
  <dimension ref="A1"/>
  <sheetViews>
    <sheetView workbookViewId="0">
      <selection activeCell="B1" sqref="B1:M6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Akcie Obligace</vt:lpstr>
      <vt:lpstr>Financni paka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Blanka</cp:lastModifiedBy>
  <dcterms:created xsi:type="dcterms:W3CDTF">2021-04-15T17:26:59Z</dcterms:created>
  <dcterms:modified xsi:type="dcterms:W3CDTF">2023-05-04T10:01:21Z</dcterms:modified>
</cp:coreProperties>
</file>